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omments5.xml" ContentType="application/vnd.openxmlformats-officedocument.spreadsheetml.comments+xml"/>
  <Override PartName="/xl/charts/chart10.xml" ContentType="application/vnd.openxmlformats-officedocument.drawingml.chart+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drawings/drawing15.xml" ContentType="application/vnd.openxmlformats-officedocument.drawing+xml"/>
  <Override PartName="/xl/comments6.xml" ContentType="application/vnd.openxmlformats-officedocument.spreadsheetml.comments+xml"/>
  <Override PartName="/xl/charts/chart13.xml" ContentType="application/vnd.openxmlformats-officedocument.drawingml.chart+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drawings/drawing18.xml" ContentType="application/vnd.openxmlformats-officedocument.drawing+xml"/>
  <Override PartName="/xl/comments7.xml" ContentType="application/vnd.openxmlformats-officedocument.spreadsheetml.comments+xml"/>
  <Override PartName="/xl/charts/chart16.xml" ContentType="application/vnd.openxmlformats-officedocument.drawingml.chart+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omments8.xml" ContentType="application/vnd.openxmlformats-officedocument.spreadsheetml.comments+xml"/>
  <Override PartName="/xl/charts/chart19.xml" ContentType="application/vnd.openxmlformats-officedocument.drawingml.chart+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drawings/drawing24.xml" ContentType="application/vnd.openxmlformats-officedocument.drawing+xml"/>
  <Override PartName="/xl/comments9.xml" ContentType="application/vnd.openxmlformats-officedocument.spreadsheetml.comments+xml"/>
  <Override PartName="/xl/charts/chart22.xml" ContentType="application/vnd.openxmlformats-officedocument.drawingml.chart+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drawings/drawing27.xml" ContentType="application/vnd.openxmlformats-officedocument.drawing+xml"/>
  <Override PartName="/xl/comments10.xml" ContentType="application/vnd.openxmlformats-officedocument.spreadsheetml.comments+xml"/>
  <Override PartName="/xl/charts/chart25.xml" ContentType="application/vnd.openxmlformats-officedocument.drawingml.chart+xml"/>
  <Override PartName="/xl/charts/chart26.xml" ContentType="application/vnd.openxmlformats-officedocument.drawingml.chart+xml"/>
  <Override PartName="/xl/drawings/drawing28.xml" ContentType="application/vnd.openxmlformats-officedocument.drawing+xml"/>
  <Override PartName="/xl/charts/chart27.xml" ContentType="application/vnd.openxmlformats-officedocument.drawingml.chart+xml"/>
  <Override PartName="/xl/drawings/drawing29.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30.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31.xml" ContentType="application/vnd.openxmlformats-officedocument.drawing+xml"/>
  <Override PartName="/xl/charts/chart40.xml" ContentType="application/vnd.openxmlformats-officedocument.drawingml.chart+xml"/>
  <Override PartName="/xl/drawings/drawing32.xml" ContentType="application/vnd.openxmlformats-officedocument.drawing+xml"/>
  <Override PartName="/xl/charts/chart4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Mijn documenten\EDUFORCE UPDATE 23-11-2014\TOPP\"/>
    </mc:Choice>
  </mc:AlternateContent>
  <bookViews>
    <workbookView xWindow="0" yWindow="0" windowWidth="23970" windowHeight="9660" tabRatio="941"/>
  </bookViews>
  <sheets>
    <sheet name="BEGINBLAD" sheetId="30" r:id="rId1"/>
    <sheet name="NW - M4" sheetId="77" r:id="rId2"/>
    <sheet name="RIO - M4" sheetId="78" r:id="rId3"/>
    <sheet name="OP - M4" sheetId="79" r:id="rId4"/>
    <sheet name="NW - E4" sheetId="70" r:id="rId5"/>
    <sheet name="RIO - E4" sheetId="71" r:id="rId6"/>
    <sheet name="OP - E4" sheetId="72" r:id="rId7"/>
    <sheet name="NW - M5" sheetId="67" r:id="rId8"/>
    <sheet name="RIO - M5" sheetId="68" r:id="rId9"/>
    <sheet name="OP - M5" sheetId="69" r:id="rId10"/>
    <sheet name="NW - E5" sheetId="64" r:id="rId11"/>
    <sheet name="RIO - E5" sheetId="65" r:id="rId12"/>
    <sheet name="OP - E5" sheetId="66" r:id="rId13"/>
    <sheet name="NW - M6" sheetId="61" r:id="rId14"/>
    <sheet name="RIO - M6" sheetId="62" r:id="rId15"/>
    <sheet name="OP - M6" sheetId="63" r:id="rId16"/>
    <sheet name="NW - E6" sheetId="58" r:id="rId17"/>
    <sheet name="RIO - E6" sheetId="59" r:id="rId18"/>
    <sheet name="OP - E6" sheetId="60" r:id="rId19"/>
    <sheet name="NW - M7" sheetId="55" r:id="rId20"/>
    <sheet name="RIO - M7" sheetId="56" r:id="rId21"/>
    <sheet name="OP - M7" sheetId="57" r:id="rId22"/>
    <sheet name="NW - E7" sheetId="80" r:id="rId23"/>
    <sheet name="RIO - E7" sheetId="81" r:id="rId24"/>
    <sheet name="OP - E7" sheetId="82" r:id="rId25"/>
    <sheet name="NW - M8" sheetId="31" r:id="rId26"/>
    <sheet name="RIO - M8" sheetId="47" r:id="rId27"/>
    <sheet name="OP - M8" sheetId="54" r:id="rId28"/>
    <sheet name="Lijn-Profiel per vak" sheetId="85" r:id="rId29"/>
    <sheet name="Staaf-Profiel per vak" sheetId="86" r:id="rId30"/>
    <sheet name="Lijn-TOPP" sheetId="84" r:id="rId31"/>
    <sheet name="Staaf-TOPP" sheetId="87" r:id="rId32"/>
  </sheets>
  <definedNames>
    <definedName name="_xlnm.Print_Area" localSheetId="28">'Lijn-Profiel per vak'!$F$2:$AJ$80</definedName>
    <definedName name="_xlnm.Print_Area" localSheetId="30">'Lijn-TOPP'!$D$2:$Y$43</definedName>
    <definedName name="_xlnm.Print_Area" localSheetId="4">'NW - E4'!$A$1:$N$44</definedName>
    <definedName name="_xlnm.Print_Area" localSheetId="10">'NW - E5'!$A$1:$N$44</definedName>
    <definedName name="_xlnm.Print_Area" localSheetId="16">'NW - E6'!$A$1:$N$44</definedName>
    <definedName name="_xlnm.Print_Area" localSheetId="22">'NW - E7'!$A$1:$N$44</definedName>
    <definedName name="_xlnm.Print_Area" localSheetId="1">'NW - M4'!$A$1:$N$44</definedName>
    <definedName name="_xlnm.Print_Area" localSheetId="7">'NW - M5'!$A$1:$N$44</definedName>
    <definedName name="_xlnm.Print_Area" localSheetId="13">'NW - M6'!$A$1:$N$44</definedName>
    <definedName name="_xlnm.Print_Area" localSheetId="19">'NW - M7'!$A$1:$N$44</definedName>
    <definedName name="_xlnm.Print_Area" localSheetId="25">'NW - M8'!$A$1:$N$44</definedName>
    <definedName name="_xlnm.Print_Area" localSheetId="6">'OP - E4'!$D$2:$V$36</definedName>
    <definedName name="_xlnm.Print_Area" localSheetId="12">'OP - E5'!$D$2:$V$36</definedName>
    <definedName name="_xlnm.Print_Area" localSheetId="18">'OP - E6'!$D$2:$V$36</definedName>
    <definedName name="_xlnm.Print_Area" localSheetId="24">'OP - E7'!$D$2:$V$36</definedName>
    <definedName name="_xlnm.Print_Area" localSheetId="3">'OP - M4'!$D$2:$V$36</definedName>
    <definedName name="_xlnm.Print_Area" localSheetId="9">'OP - M5'!$D$2:$V$36</definedName>
    <definedName name="_xlnm.Print_Area" localSheetId="15">'OP - M6'!$D$2:$V$36</definedName>
    <definedName name="_xlnm.Print_Area" localSheetId="21">'OP - M7'!$D$2:$V$36</definedName>
    <definedName name="_xlnm.Print_Area" localSheetId="27">'OP - M8'!$D$2:$V$36</definedName>
    <definedName name="_xlnm.Print_Area" localSheetId="5">'RIO - E4'!$A$1:$BH$94</definedName>
    <definedName name="_xlnm.Print_Area" localSheetId="11">'RIO - E5'!$A$1:$BH$94</definedName>
    <definedName name="_xlnm.Print_Area" localSheetId="17">'RIO - E6'!$A$1:$BH$94</definedName>
    <definedName name="_xlnm.Print_Area" localSheetId="23">'RIO - E7'!$A$1:$BH$94</definedName>
    <definedName name="_xlnm.Print_Area" localSheetId="2">'RIO - M4'!$A$1:$BH$94</definedName>
    <definedName name="_xlnm.Print_Area" localSheetId="8">'RIO - M5'!$A$1:$BH$94</definedName>
    <definedName name="_xlnm.Print_Area" localSheetId="14">'RIO - M6'!$A$1:$BG$94</definedName>
    <definedName name="_xlnm.Print_Area" localSheetId="20">'RIO - M7'!$A$1:$BH$94</definedName>
    <definedName name="_xlnm.Print_Area" localSheetId="26">'RIO - M8'!$A$1:$BH$94</definedName>
    <definedName name="_xlnm.Print_Area" localSheetId="29">'Staaf-Profiel per vak'!$F$2:$AJ$80</definedName>
    <definedName name="_xlnm.Print_Area" localSheetId="31">'Staaf-TOPP'!$D$2:$Y$43</definedName>
  </definedNames>
  <calcPr calcId="152511"/>
</workbook>
</file>

<file path=xl/calcChain.xml><?xml version="1.0" encoding="utf-8"?>
<calcChain xmlns="http://schemas.openxmlformats.org/spreadsheetml/2006/main">
  <c r="AT52" i="47" l="1"/>
  <c r="AT51" i="47"/>
  <c r="AT50" i="47"/>
  <c r="AT49" i="47"/>
  <c r="AT48" i="47"/>
  <c r="AT47" i="47"/>
  <c r="AT46" i="47"/>
  <c r="AT45" i="47"/>
  <c r="AT44" i="47"/>
  <c r="AT43" i="47"/>
  <c r="AT42" i="47"/>
  <c r="AT41" i="47"/>
  <c r="AT40" i="47"/>
  <c r="AT39" i="47"/>
  <c r="AT38" i="47"/>
  <c r="AT37" i="47"/>
  <c r="AT36" i="47"/>
  <c r="AT35" i="47"/>
  <c r="AT34" i="47"/>
  <c r="AT33" i="47"/>
  <c r="AT32" i="47"/>
  <c r="AT31" i="47"/>
  <c r="AT30" i="47"/>
  <c r="AT29" i="47"/>
  <c r="AT28" i="47"/>
  <c r="AT27" i="47"/>
  <c r="AT26" i="47"/>
  <c r="AT25" i="47"/>
  <c r="AT24" i="47"/>
  <c r="AT23" i="47"/>
  <c r="AT22" i="47"/>
  <c r="AT21" i="47"/>
  <c r="AT20" i="47"/>
  <c r="AT19" i="47"/>
  <c r="AT18" i="47"/>
  <c r="AT17" i="47"/>
  <c r="AT52" i="81"/>
  <c r="AT51" i="81"/>
  <c r="AT50" i="81"/>
  <c r="AT49" i="81"/>
  <c r="AT48" i="81"/>
  <c r="AT47" i="81"/>
  <c r="AT46" i="81"/>
  <c r="AT45" i="81"/>
  <c r="AT44" i="81"/>
  <c r="AT43" i="81"/>
  <c r="AT42" i="81"/>
  <c r="AT41" i="81"/>
  <c r="AT40" i="81"/>
  <c r="AT39" i="81"/>
  <c r="AT38" i="81"/>
  <c r="AT37" i="81"/>
  <c r="AT36" i="81"/>
  <c r="AT35" i="81"/>
  <c r="AT34" i="81"/>
  <c r="AT33" i="81"/>
  <c r="AT32" i="81"/>
  <c r="AT31" i="81"/>
  <c r="AT30" i="81"/>
  <c r="AT29" i="81"/>
  <c r="AT28" i="81"/>
  <c r="AT27" i="81"/>
  <c r="AT26" i="81"/>
  <c r="AT25" i="81"/>
  <c r="AT24" i="81"/>
  <c r="AT23" i="81"/>
  <c r="AT22" i="81"/>
  <c r="AT21" i="81"/>
  <c r="AT20" i="81"/>
  <c r="AT19" i="81"/>
  <c r="AT18" i="81"/>
  <c r="AT17" i="81"/>
  <c r="AT52" i="56"/>
  <c r="AT51" i="56"/>
  <c r="AT50" i="56"/>
  <c r="AT49" i="56"/>
  <c r="AT48" i="56"/>
  <c r="AT47" i="56"/>
  <c r="AT46" i="56"/>
  <c r="AT45" i="56"/>
  <c r="AT44" i="56"/>
  <c r="AT43" i="56"/>
  <c r="AT42" i="56"/>
  <c r="AT41" i="56"/>
  <c r="AT40" i="56"/>
  <c r="AT39" i="56"/>
  <c r="AT38" i="56"/>
  <c r="AT37" i="56"/>
  <c r="AT36" i="56"/>
  <c r="AT35" i="56"/>
  <c r="AT34" i="56"/>
  <c r="AT33" i="56"/>
  <c r="AT32" i="56"/>
  <c r="AT31" i="56"/>
  <c r="AT30" i="56"/>
  <c r="AT29" i="56"/>
  <c r="AT28" i="56"/>
  <c r="AT27" i="56"/>
  <c r="AT26" i="56"/>
  <c r="AT25" i="56"/>
  <c r="AT24" i="56"/>
  <c r="AT23" i="56"/>
  <c r="AT22" i="56"/>
  <c r="AT21" i="56"/>
  <c r="AT20" i="56"/>
  <c r="AT19" i="56"/>
  <c r="AT18" i="56"/>
  <c r="AT17" i="56"/>
  <c r="AT52" i="59"/>
  <c r="AT51" i="59"/>
  <c r="AT50" i="59"/>
  <c r="AT49" i="59"/>
  <c r="AT48" i="59"/>
  <c r="AT47" i="59"/>
  <c r="AT46" i="59"/>
  <c r="AT45" i="59"/>
  <c r="AT44" i="59"/>
  <c r="AT43" i="59"/>
  <c r="AT42" i="59"/>
  <c r="AT41" i="59"/>
  <c r="AT40" i="59"/>
  <c r="AT39" i="59"/>
  <c r="AT38" i="59"/>
  <c r="AT37" i="59"/>
  <c r="AT36" i="59"/>
  <c r="AT35" i="59"/>
  <c r="AT34" i="59"/>
  <c r="AT33" i="59"/>
  <c r="AT32" i="59"/>
  <c r="AT31" i="59"/>
  <c r="AT30" i="59"/>
  <c r="AT29" i="59"/>
  <c r="AT28" i="59"/>
  <c r="AT27" i="59"/>
  <c r="AT26" i="59"/>
  <c r="AT25" i="59"/>
  <c r="AT24" i="59"/>
  <c r="AT23" i="59"/>
  <c r="AT22" i="59"/>
  <c r="AT21" i="59"/>
  <c r="AT20" i="59"/>
  <c r="AT19" i="59"/>
  <c r="AT18" i="59"/>
  <c r="AT17" i="59"/>
  <c r="AT52" i="62"/>
  <c r="AT51" i="62"/>
  <c r="AT50" i="62"/>
  <c r="AT49" i="62"/>
  <c r="AT48" i="62"/>
  <c r="AT47" i="62"/>
  <c r="AT46" i="62"/>
  <c r="AT45" i="62"/>
  <c r="AT44" i="62"/>
  <c r="AT43" i="62"/>
  <c r="AT42" i="62"/>
  <c r="AT41" i="62"/>
  <c r="AT40" i="62"/>
  <c r="AT39" i="62"/>
  <c r="AT38" i="62"/>
  <c r="AT37" i="62"/>
  <c r="AT36" i="62"/>
  <c r="AT35" i="62"/>
  <c r="AT34" i="62"/>
  <c r="AT33" i="62"/>
  <c r="AT32" i="62"/>
  <c r="AT31" i="62"/>
  <c r="AT30" i="62"/>
  <c r="AT29" i="62"/>
  <c r="AT28" i="62"/>
  <c r="AT27" i="62"/>
  <c r="AT26" i="62"/>
  <c r="AT25" i="62"/>
  <c r="AT24" i="62"/>
  <c r="AT23" i="62"/>
  <c r="AT22" i="62"/>
  <c r="AT21" i="62"/>
  <c r="AT20" i="62"/>
  <c r="AT19" i="62"/>
  <c r="AT18" i="62"/>
  <c r="AT17" i="62"/>
  <c r="AT52" i="65"/>
  <c r="AT51" i="65"/>
  <c r="AT50" i="65"/>
  <c r="AT49" i="65"/>
  <c r="AT48" i="65"/>
  <c r="AT47" i="65"/>
  <c r="AT46" i="65"/>
  <c r="AT45" i="65"/>
  <c r="AT44" i="65"/>
  <c r="AT43" i="65"/>
  <c r="AT42" i="65"/>
  <c r="AT41" i="65"/>
  <c r="AT40" i="65"/>
  <c r="AT39" i="65"/>
  <c r="AT38" i="65"/>
  <c r="AT37" i="65"/>
  <c r="AT36" i="65"/>
  <c r="AT35" i="65"/>
  <c r="AT34" i="65"/>
  <c r="AT33" i="65"/>
  <c r="AT32" i="65"/>
  <c r="AT31" i="65"/>
  <c r="AT30" i="65"/>
  <c r="AT29" i="65"/>
  <c r="AT28" i="65"/>
  <c r="AT27" i="65"/>
  <c r="AT26" i="65"/>
  <c r="AT25" i="65"/>
  <c r="AT24" i="65"/>
  <c r="AT23" i="65"/>
  <c r="AT22" i="65"/>
  <c r="AT21" i="65"/>
  <c r="AT20" i="65"/>
  <c r="AT19" i="65"/>
  <c r="AT18" i="65"/>
  <c r="AT17" i="65"/>
  <c r="AT52" i="68"/>
  <c r="AT51" i="68"/>
  <c r="AT50" i="68"/>
  <c r="AT49" i="68"/>
  <c r="AT48" i="68"/>
  <c r="AT47" i="68"/>
  <c r="AT46" i="68"/>
  <c r="AT45" i="68"/>
  <c r="AT44" i="68"/>
  <c r="AT43" i="68"/>
  <c r="AT42" i="68"/>
  <c r="AT41" i="68"/>
  <c r="AT40" i="68"/>
  <c r="AT39" i="68"/>
  <c r="AT38" i="68"/>
  <c r="AT37" i="68"/>
  <c r="AT36" i="68"/>
  <c r="AT35" i="68"/>
  <c r="AT34" i="68"/>
  <c r="AT33" i="68"/>
  <c r="AT32" i="68"/>
  <c r="AT31" i="68"/>
  <c r="AT30" i="68"/>
  <c r="AT29" i="68"/>
  <c r="AT28" i="68"/>
  <c r="AT27" i="68"/>
  <c r="AT26" i="68"/>
  <c r="AT25" i="68"/>
  <c r="AT24" i="68"/>
  <c r="AT23" i="68"/>
  <c r="AT22" i="68"/>
  <c r="AT21" i="68"/>
  <c r="AT20" i="68"/>
  <c r="AT19" i="68"/>
  <c r="AT18" i="68"/>
  <c r="AT17" i="68"/>
  <c r="AT18" i="78"/>
  <c r="AT19" i="78"/>
  <c r="AT20" i="78"/>
  <c r="AT21" i="78"/>
  <c r="AT22" i="78"/>
  <c r="AT23" i="78"/>
  <c r="AT24" i="78"/>
  <c r="AT25" i="78"/>
  <c r="AT26" i="78"/>
  <c r="AT27" i="78"/>
  <c r="AT28" i="78"/>
  <c r="AT29" i="78"/>
  <c r="AT30" i="78"/>
  <c r="AT31" i="78"/>
  <c r="AT32" i="78"/>
  <c r="AT33" i="78"/>
  <c r="AT34" i="78"/>
  <c r="AT35" i="78"/>
  <c r="AT36" i="78"/>
  <c r="AT37" i="78"/>
  <c r="AT38" i="78"/>
  <c r="AT39" i="78"/>
  <c r="AT40" i="78"/>
  <c r="AT41" i="78"/>
  <c r="AT42" i="78"/>
  <c r="AT43" i="78"/>
  <c r="AT44" i="78"/>
  <c r="AT45" i="78"/>
  <c r="AT46" i="78"/>
  <c r="AT47" i="78"/>
  <c r="AT48" i="78"/>
  <c r="AT49" i="78"/>
  <c r="AT50" i="78"/>
  <c r="AT51" i="78"/>
  <c r="AT52" i="78"/>
  <c r="AT17" i="78"/>
  <c r="C18" i="47" l="1"/>
  <c r="C19" i="47"/>
  <c r="C19" i="81"/>
  <c r="C19" i="56"/>
  <c r="C18" i="59"/>
  <c r="C19" i="59"/>
  <c r="C19" i="62"/>
  <c r="C19" i="65"/>
  <c r="C18" i="68"/>
  <c r="C18" i="65" s="1"/>
  <c r="C20" i="68"/>
  <c r="C20" i="65" s="1"/>
  <c r="C20" i="62" s="1"/>
  <c r="C20" i="59" s="1"/>
  <c r="C20" i="56" s="1"/>
  <c r="C20" i="81" s="1"/>
  <c r="C20" i="47" s="1"/>
  <c r="C21" i="68"/>
  <c r="C21" i="65" s="1"/>
  <c r="C21" i="62" s="1"/>
  <c r="C21" i="59" s="1"/>
  <c r="C21" i="56" s="1"/>
  <c r="C21" i="81" s="1"/>
  <c r="C21" i="47" s="1"/>
  <c r="C32" i="68"/>
  <c r="C32" i="65" s="1"/>
  <c r="C32" i="62" s="1"/>
  <c r="C32" i="59" s="1"/>
  <c r="C32" i="56" s="1"/>
  <c r="C32" i="81" s="1"/>
  <c r="C32" i="47" s="1"/>
  <c r="C35" i="68"/>
  <c r="C35" i="65" s="1"/>
  <c r="C35" i="62" s="1"/>
  <c r="C35" i="59" s="1"/>
  <c r="C35" i="56" s="1"/>
  <c r="C35" i="81" s="1"/>
  <c r="C35" i="47" s="1"/>
  <c r="C36" i="68"/>
  <c r="C36" i="65" s="1"/>
  <c r="C36" i="62" s="1"/>
  <c r="C36" i="59" s="1"/>
  <c r="C36" i="56" s="1"/>
  <c r="C36" i="81" s="1"/>
  <c r="C36" i="47" s="1"/>
  <c r="C37" i="68"/>
  <c r="C37" i="65" s="1"/>
  <c r="C37" i="62" s="1"/>
  <c r="C37" i="59" s="1"/>
  <c r="C37" i="56" s="1"/>
  <c r="C37" i="81" s="1"/>
  <c r="C37" i="47" s="1"/>
  <c r="C48" i="68"/>
  <c r="C48" i="65" s="1"/>
  <c r="C48" i="62" s="1"/>
  <c r="C48" i="59" s="1"/>
  <c r="C48" i="56" s="1"/>
  <c r="C48" i="81" s="1"/>
  <c r="C48" i="47" s="1"/>
  <c r="C51" i="68"/>
  <c r="C51" i="65" s="1"/>
  <c r="C51" i="62" s="1"/>
  <c r="C51" i="59" s="1"/>
  <c r="C51" i="56" s="1"/>
  <c r="C51" i="81" s="1"/>
  <c r="C51" i="47" s="1"/>
  <c r="C52" i="68"/>
  <c r="C52" i="65" s="1"/>
  <c r="C52" i="62" s="1"/>
  <c r="C52" i="59" s="1"/>
  <c r="C52" i="56" s="1"/>
  <c r="C52" i="81" s="1"/>
  <c r="C17" i="68"/>
  <c r="C17" i="65" s="1"/>
  <c r="C17" i="62" s="1"/>
  <c r="C17" i="59" s="1"/>
  <c r="C17" i="56" s="1"/>
  <c r="C17" i="81" s="1"/>
  <c r="C17" i="47" s="1"/>
  <c r="C52" i="47"/>
  <c r="C17" i="71"/>
  <c r="C18" i="71"/>
  <c r="C19" i="71"/>
  <c r="C20" i="71"/>
  <c r="C21" i="71"/>
  <c r="C22" i="71"/>
  <c r="C22" i="68" s="1"/>
  <c r="C22" i="65" s="1"/>
  <c r="C22" i="62" s="1"/>
  <c r="C22" i="59" s="1"/>
  <c r="C22" i="56" s="1"/>
  <c r="C22" i="81" s="1"/>
  <c r="C22" i="47" s="1"/>
  <c r="C23" i="71"/>
  <c r="C23" i="68" s="1"/>
  <c r="C23" i="65" s="1"/>
  <c r="C23" i="62" s="1"/>
  <c r="C23" i="59" s="1"/>
  <c r="C23" i="56" s="1"/>
  <c r="C23" i="81" s="1"/>
  <c r="C23" i="47" s="1"/>
  <c r="C24" i="71"/>
  <c r="C24" i="68" s="1"/>
  <c r="C24" i="65" s="1"/>
  <c r="C24" i="62" s="1"/>
  <c r="C24" i="59" s="1"/>
  <c r="C24" i="56" s="1"/>
  <c r="C24" i="81" s="1"/>
  <c r="C24" i="47" s="1"/>
  <c r="C25" i="71"/>
  <c r="C25" i="68" s="1"/>
  <c r="C25" i="65" s="1"/>
  <c r="C25" i="62" s="1"/>
  <c r="C25" i="59" s="1"/>
  <c r="C25" i="56" s="1"/>
  <c r="C25" i="81" s="1"/>
  <c r="C25" i="47" s="1"/>
  <c r="C26" i="71"/>
  <c r="C26" i="68" s="1"/>
  <c r="C26" i="65" s="1"/>
  <c r="C26" i="62" s="1"/>
  <c r="C26" i="59" s="1"/>
  <c r="C26" i="56" s="1"/>
  <c r="C26" i="81" s="1"/>
  <c r="C26" i="47" s="1"/>
  <c r="C27" i="71"/>
  <c r="C27" i="68" s="1"/>
  <c r="C27" i="65" s="1"/>
  <c r="C27" i="62" s="1"/>
  <c r="C27" i="59" s="1"/>
  <c r="C27" i="56" s="1"/>
  <c r="C27" i="81" s="1"/>
  <c r="C27" i="47" s="1"/>
  <c r="C28" i="71"/>
  <c r="C28" i="68" s="1"/>
  <c r="C28" i="65" s="1"/>
  <c r="C28" i="62" s="1"/>
  <c r="C28" i="59" s="1"/>
  <c r="C28" i="56" s="1"/>
  <c r="C28" i="81" s="1"/>
  <c r="C28" i="47" s="1"/>
  <c r="C29" i="71"/>
  <c r="C29" i="68" s="1"/>
  <c r="C29" i="65" s="1"/>
  <c r="C29" i="62" s="1"/>
  <c r="C29" i="59" s="1"/>
  <c r="C29" i="56" s="1"/>
  <c r="C29" i="81" s="1"/>
  <c r="C29" i="47" s="1"/>
  <c r="C30" i="71"/>
  <c r="C30" i="68" s="1"/>
  <c r="C30" i="65" s="1"/>
  <c r="C30" i="62" s="1"/>
  <c r="C30" i="59" s="1"/>
  <c r="C30" i="56" s="1"/>
  <c r="C30" i="81" s="1"/>
  <c r="C30" i="47" s="1"/>
  <c r="C31" i="71"/>
  <c r="C31" i="68" s="1"/>
  <c r="C31" i="65" s="1"/>
  <c r="C31" i="62" s="1"/>
  <c r="C31" i="59" s="1"/>
  <c r="C31" i="56" s="1"/>
  <c r="C31" i="81" s="1"/>
  <c r="C31" i="47" s="1"/>
  <c r="C32" i="71"/>
  <c r="C33" i="71"/>
  <c r="C33" i="68" s="1"/>
  <c r="C33" i="65" s="1"/>
  <c r="C33" i="62" s="1"/>
  <c r="C33" i="59" s="1"/>
  <c r="C33" i="56" s="1"/>
  <c r="C33" i="81" s="1"/>
  <c r="C33" i="47" s="1"/>
  <c r="C34" i="71"/>
  <c r="C34" i="68" s="1"/>
  <c r="C34" i="65" s="1"/>
  <c r="C34" i="62" s="1"/>
  <c r="C34" i="59" s="1"/>
  <c r="C34" i="56" s="1"/>
  <c r="C34" i="81" s="1"/>
  <c r="C34" i="47" s="1"/>
  <c r="C35" i="71"/>
  <c r="C36" i="71"/>
  <c r="C37" i="71"/>
  <c r="C38" i="71"/>
  <c r="C38" i="68" s="1"/>
  <c r="C38" i="65" s="1"/>
  <c r="C38" i="62" s="1"/>
  <c r="C38" i="59" s="1"/>
  <c r="C38" i="56" s="1"/>
  <c r="C38" i="81" s="1"/>
  <c r="C38" i="47" s="1"/>
  <c r="C39" i="71"/>
  <c r="C39" i="68" s="1"/>
  <c r="C39" i="65" s="1"/>
  <c r="C39" i="62" s="1"/>
  <c r="C39" i="59" s="1"/>
  <c r="C39" i="56" s="1"/>
  <c r="C39" i="81" s="1"/>
  <c r="C39" i="47" s="1"/>
  <c r="C40" i="71"/>
  <c r="C40" i="68" s="1"/>
  <c r="C40" i="65" s="1"/>
  <c r="C40" i="62" s="1"/>
  <c r="C40" i="59" s="1"/>
  <c r="C40" i="56" s="1"/>
  <c r="C40" i="81" s="1"/>
  <c r="C40" i="47" s="1"/>
  <c r="C41" i="71"/>
  <c r="C41" i="68" s="1"/>
  <c r="C41" i="65" s="1"/>
  <c r="C41" i="62" s="1"/>
  <c r="C41" i="59" s="1"/>
  <c r="C41" i="56" s="1"/>
  <c r="C41" i="81" s="1"/>
  <c r="C41" i="47" s="1"/>
  <c r="C42" i="71"/>
  <c r="C42" i="68" s="1"/>
  <c r="C42" i="65" s="1"/>
  <c r="C42" i="62" s="1"/>
  <c r="C42" i="59" s="1"/>
  <c r="C42" i="56" s="1"/>
  <c r="C42" i="81" s="1"/>
  <c r="C42" i="47" s="1"/>
  <c r="C43" i="71"/>
  <c r="C43" i="68" s="1"/>
  <c r="C43" i="65" s="1"/>
  <c r="C43" i="62" s="1"/>
  <c r="C43" i="59" s="1"/>
  <c r="C43" i="56" s="1"/>
  <c r="C43" i="81" s="1"/>
  <c r="C43" i="47" s="1"/>
  <c r="C44" i="71"/>
  <c r="C44" i="68" s="1"/>
  <c r="C44" i="65" s="1"/>
  <c r="C44" i="62" s="1"/>
  <c r="C44" i="59" s="1"/>
  <c r="C44" i="56" s="1"/>
  <c r="C44" i="81" s="1"/>
  <c r="C44" i="47" s="1"/>
  <c r="C45" i="71"/>
  <c r="C45" i="68" s="1"/>
  <c r="C45" i="65" s="1"/>
  <c r="C45" i="62" s="1"/>
  <c r="C45" i="59" s="1"/>
  <c r="C45" i="56" s="1"/>
  <c r="C45" i="81" s="1"/>
  <c r="C45" i="47" s="1"/>
  <c r="C46" i="71"/>
  <c r="C46" i="68" s="1"/>
  <c r="C46" i="65" s="1"/>
  <c r="C46" i="62" s="1"/>
  <c r="C46" i="59" s="1"/>
  <c r="C46" i="56" s="1"/>
  <c r="C46" i="81" s="1"/>
  <c r="C46" i="47" s="1"/>
  <c r="C47" i="71"/>
  <c r="C47" i="68" s="1"/>
  <c r="C47" i="65" s="1"/>
  <c r="C47" i="62" s="1"/>
  <c r="C47" i="59" s="1"/>
  <c r="C47" i="56" s="1"/>
  <c r="C47" i="81" s="1"/>
  <c r="C47" i="47" s="1"/>
  <c r="C48" i="71"/>
  <c r="C49" i="71"/>
  <c r="C49" i="68" s="1"/>
  <c r="C49" i="65" s="1"/>
  <c r="C49" i="62" s="1"/>
  <c r="C49" i="59" s="1"/>
  <c r="C49" i="56" s="1"/>
  <c r="C49" i="81" s="1"/>
  <c r="C49" i="47" s="1"/>
  <c r="C50" i="71"/>
  <c r="C50" i="68" s="1"/>
  <c r="C50" i="65" s="1"/>
  <c r="C50" i="62" s="1"/>
  <c r="C50" i="59" s="1"/>
  <c r="C50" i="56" s="1"/>
  <c r="C50" i="81" s="1"/>
  <c r="C50" i="47" s="1"/>
  <c r="C51" i="71"/>
  <c r="C52" i="71"/>
  <c r="B40" i="87" l="1"/>
  <c r="A40" i="87"/>
  <c r="B39" i="87"/>
  <c r="A39" i="87"/>
  <c r="B38" i="87"/>
  <c r="A38" i="87"/>
  <c r="B37" i="87"/>
  <c r="A37" i="87"/>
  <c r="B36" i="87"/>
  <c r="A36" i="87"/>
  <c r="B35" i="87"/>
  <c r="A35" i="87"/>
  <c r="B34" i="87"/>
  <c r="A34" i="87"/>
  <c r="B33" i="87"/>
  <c r="A33" i="87"/>
  <c r="B32" i="87"/>
  <c r="A32" i="87"/>
  <c r="B31" i="87"/>
  <c r="A31" i="87"/>
  <c r="B30" i="87"/>
  <c r="A30" i="87"/>
  <c r="B29" i="87"/>
  <c r="A29" i="87"/>
  <c r="B28" i="87"/>
  <c r="A28" i="87"/>
  <c r="B27" i="87"/>
  <c r="A27" i="87"/>
  <c r="B26" i="87"/>
  <c r="A26" i="87"/>
  <c r="B25" i="87"/>
  <c r="A25" i="87"/>
  <c r="B24" i="87"/>
  <c r="A24" i="87"/>
  <c r="B23" i="87"/>
  <c r="A23" i="87"/>
  <c r="W22" i="87"/>
  <c r="B22" i="87"/>
  <c r="A22" i="87"/>
  <c r="Y21" i="87"/>
  <c r="B21" i="87"/>
  <c r="A21" i="87"/>
  <c r="W20" i="87"/>
  <c r="B20" i="87"/>
  <c r="A20" i="87"/>
  <c r="Y19" i="87"/>
  <c r="B19" i="87"/>
  <c r="A19" i="87"/>
  <c r="W18" i="87"/>
  <c r="B18" i="87"/>
  <c r="A18" i="87"/>
  <c r="Y17" i="87"/>
  <c r="B17" i="87"/>
  <c r="A17" i="87"/>
  <c r="W16" i="87"/>
  <c r="B16" i="87"/>
  <c r="A16" i="87"/>
  <c r="Y15" i="87"/>
  <c r="B15" i="87"/>
  <c r="A15" i="87"/>
  <c r="W14" i="87"/>
  <c r="B14" i="87"/>
  <c r="A14" i="87"/>
  <c r="Y13" i="87"/>
  <c r="B13" i="87"/>
  <c r="A13" i="87"/>
  <c r="W12" i="87"/>
  <c r="B12" i="87"/>
  <c r="A12" i="87"/>
  <c r="Y11" i="87"/>
  <c r="B11" i="87"/>
  <c r="A11" i="87"/>
  <c r="W10" i="87"/>
  <c r="B10" i="87"/>
  <c r="A10" i="87"/>
  <c r="Y9" i="87"/>
  <c r="B9" i="87"/>
  <c r="A9" i="87"/>
  <c r="W8" i="87"/>
  <c r="B8" i="87"/>
  <c r="A8" i="87"/>
  <c r="Y7" i="87"/>
  <c r="B7" i="87"/>
  <c r="A7" i="87"/>
  <c r="X6" i="87"/>
  <c r="W6" i="87"/>
  <c r="V6" i="87"/>
  <c r="M8" i="87" s="1"/>
  <c r="L8" i="87" s="1"/>
  <c r="B6" i="87"/>
  <c r="A6" i="87"/>
  <c r="B5" i="87"/>
  <c r="A5" i="87"/>
  <c r="G4" i="87"/>
  <c r="B4" i="87"/>
  <c r="X42" i="86"/>
  <c r="N42" i="86"/>
  <c r="X41" i="86"/>
  <c r="N41" i="86"/>
  <c r="X40" i="86"/>
  <c r="N40" i="86"/>
  <c r="B40" i="86"/>
  <c r="A40" i="86"/>
  <c r="X39" i="86"/>
  <c r="N39" i="86"/>
  <c r="B39" i="86"/>
  <c r="A39" i="86"/>
  <c r="X38" i="86"/>
  <c r="N38" i="86"/>
  <c r="B38" i="86"/>
  <c r="A38" i="86"/>
  <c r="X37" i="86"/>
  <c r="N37" i="86"/>
  <c r="B37" i="86"/>
  <c r="A37" i="86"/>
  <c r="X36" i="86"/>
  <c r="N36" i="86"/>
  <c r="B36" i="86"/>
  <c r="A36" i="86"/>
  <c r="X35" i="86"/>
  <c r="N35" i="86"/>
  <c r="B35" i="86"/>
  <c r="A35" i="86"/>
  <c r="Y34" i="86"/>
  <c r="X34" i="86"/>
  <c r="W34" i="86"/>
  <c r="V34" i="86" s="1"/>
  <c r="T34" i="86" s="1"/>
  <c r="O34" i="86"/>
  <c r="N34" i="86"/>
  <c r="M34" i="86"/>
  <c r="L34" i="86" s="1"/>
  <c r="K34" i="86" s="1"/>
  <c r="B34" i="86"/>
  <c r="A34" i="86"/>
  <c r="B33" i="86"/>
  <c r="A33" i="86"/>
  <c r="B32" i="86"/>
  <c r="A32" i="86"/>
  <c r="B31" i="86"/>
  <c r="A31" i="86"/>
  <c r="B30" i="86"/>
  <c r="A30" i="86"/>
  <c r="X29" i="86"/>
  <c r="N29" i="86"/>
  <c r="B29" i="86"/>
  <c r="A29" i="86"/>
  <c r="X28" i="86"/>
  <c r="N28" i="86"/>
  <c r="B28" i="86"/>
  <c r="A28" i="86"/>
  <c r="X27" i="86"/>
  <c r="N27" i="86"/>
  <c r="B27" i="86"/>
  <c r="A27" i="86"/>
  <c r="X26" i="86"/>
  <c r="N26" i="86"/>
  <c r="B26" i="86"/>
  <c r="A26" i="86"/>
  <c r="X25" i="86"/>
  <c r="N25" i="86"/>
  <c r="B25" i="86"/>
  <c r="A25" i="86"/>
  <c r="X24" i="86"/>
  <c r="N24" i="86"/>
  <c r="B24" i="86"/>
  <c r="A24" i="86"/>
  <c r="X23" i="86"/>
  <c r="N23" i="86"/>
  <c r="B23" i="86"/>
  <c r="A23" i="86"/>
  <c r="X22" i="86"/>
  <c r="N22" i="86"/>
  <c r="B22" i="86"/>
  <c r="A22" i="86"/>
  <c r="Y21" i="86"/>
  <c r="X21" i="86"/>
  <c r="W21" i="86"/>
  <c r="V21" i="86" s="1"/>
  <c r="T21" i="86" s="1"/>
  <c r="O21" i="86"/>
  <c r="N21" i="86"/>
  <c r="M21" i="86"/>
  <c r="L21" i="86" s="1"/>
  <c r="K21" i="86" s="1"/>
  <c r="B21" i="86"/>
  <c r="A21" i="86"/>
  <c r="B20" i="86"/>
  <c r="A20" i="86"/>
  <c r="B19" i="86"/>
  <c r="A19" i="86"/>
  <c r="B18" i="86"/>
  <c r="A18" i="86"/>
  <c r="X17" i="86"/>
  <c r="N17" i="86"/>
  <c r="B17" i="86"/>
  <c r="A17" i="86"/>
  <c r="X16" i="86"/>
  <c r="N16" i="86"/>
  <c r="B16" i="86"/>
  <c r="A16" i="86"/>
  <c r="X15" i="86"/>
  <c r="N15" i="86"/>
  <c r="B15" i="86"/>
  <c r="A15" i="86"/>
  <c r="X14" i="86"/>
  <c r="N14" i="86"/>
  <c r="B14" i="86"/>
  <c r="A14" i="86"/>
  <c r="X13" i="86"/>
  <c r="N13" i="86"/>
  <c r="B13" i="86"/>
  <c r="A13" i="86"/>
  <c r="X12" i="86"/>
  <c r="N12" i="86"/>
  <c r="B12" i="86"/>
  <c r="A12" i="86"/>
  <c r="X11" i="86"/>
  <c r="N11" i="86"/>
  <c r="B11" i="86"/>
  <c r="A11" i="86"/>
  <c r="X10" i="86"/>
  <c r="N10" i="86"/>
  <c r="B10" i="86"/>
  <c r="A10" i="86"/>
  <c r="Y9" i="86"/>
  <c r="X9" i="86"/>
  <c r="W9" i="86"/>
  <c r="V9" i="86" s="1"/>
  <c r="T9" i="86" s="1"/>
  <c r="O9" i="86"/>
  <c r="N9" i="86"/>
  <c r="M9" i="86"/>
  <c r="L9" i="86" s="1"/>
  <c r="K9" i="86" s="1"/>
  <c r="B9" i="86"/>
  <c r="A9" i="86"/>
  <c r="B8" i="86"/>
  <c r="A8" i="86"/>
  <c r="B7" i="86"/>
  <c r="A7" i="86"/>
  <c r="B6" i="86"/>
  <c r="A6" i="86"/>
  <c r="B5" i="86"/>
  <c r="A5" i="86"/>
  <c r="I4" i="86"/>
  <c r="B4" i="86"/>
  <c r="I4" i="54"/>
  <c r="G2" i="54"/>
  <c r="I4" i="82"/>
  <c r="G2" i="82"/>
  <c r="I4" i="57"/>
  <c r="G2" i="57"/>
  <c r="I4" i="60"/>
  <c r="G2" i="60"/>
  <c r="I4" i="63"/>
  <c r="G2" i="63"/>
  <c r="I4" i="66"/>
  <c r="G2" i="66"/>
  <c r="I4" i="69"/>
  <c r="G2" i="69"/>
  <c r="I4" i="72"/>
  <c r="G2" i="72"/>
  <c r="F2" i="72"/>
  <c r="I4" i="79"/>
  <c r="G2" i="79"/>
  <c r="K7" i="31"/>
  <c r="J7" i="31"/>
  <c r="M7" i="31"/>
  <c r="K6" i="31"/>
  <c r="M6" i="31"/>
  <c r="J6" i="31"/>
  <c r="F18" i="47"/>
  <c r="I18" i="47" s="1"/>
  <c r="H18" i="47"/>
  <c r="F17" i="47"/>
  <c r="I17" i="47" s="1"/>
  <c r="Y21" i="84"/>
  <c r="Y19" i="84"/>
  <c r="K20" i="55"/>
  <c r="M20" i="55"/>
  <c r="J20" i="55"/>
  <c r="F31" i="56"/>
  <c r="I31" i="56" s="1"/>
  <c r="Y17" i="84"/>
  <c r="Y15" i="84"/>
  <c r="K6" i="61"/>
  <c r="M6" i="61"/>
  <c r="J6" i="61"/>
  <c r="Y13" i="84"/>
  <c r="Y11" i="84"/>
  <c r="Y9" i="84"/>
  <c r="Y7" i="84"/>
  <c r="F17" i="65"/>
  <c r="I17" i="65" s="1"/>
  <c r="K6" i="64"/>
  <c r="M6" i="64"/>
  <c r="J6" i="64"/>
  <c r="X42" i="85"/>
  <c r="X41" i="85"/>
  <c r="X40" i="85"/>
  <c r="X39" i="85"/>
  <c r="X38" i="85"/>
  <c r="X37" i="85"/>
  <c r="X36" i="85"/>
  <c r="X35" i="85"/>
  <c r="X34" i="85"/>
  <c r="X29" i="85"/>
  <c r="X28" i="85"/>
  <c r="X27" i="85"/>
  <c r="X26" i="85"/>
  <c r="X25" i="85"/>
  <c r="X24" i="85"/>
  <c r="X23" i="85"/>
  <c r="X22" i="85"/>
  <c r="X21" i="85"/>
  <c r="X17" i="85"/>
  <c r="X16" i="85"/>
  <c r="X15" i="85"/>
  <c r="X14" i="85"/>
  <c r="X13" i="85"/>
  <c r="X12" i="85"/>
  <c r="X11" i="85"/>
  <c r="X10" i="85"/>
  <c r="X9" i="85"/>
  <c r="N42" i="85"/>
  <c r="N41" i="85"/>
  <c r="N40" i="85"/>
  <c r="N39" i="85"/>
  <c r="N38" i="85"/>
  <c r="N37" i="85"/>
  <c r="N36" i="85"/>
  <c r="N35" i="85"/>
  <c r="N34" i="85"/>
  <c r="F20" i="47"/>
  <c r="I20" i="47" s="1"/>
  <c r="H20" i="47"/>
  <c r="H17" i="47"/>
  <c r="F20" i="81"/>
  <c r="I20" i="81" s="1"/>
  <c r="K20" i="81" s="1"/>
  <c r="J20" i="81"/>
  <c r="AJ20" i="81" s="1"/>
  <c r="H20" i="81"/>
  <c r="F17" i="81"/>
  <c r="I17" i="81" s="1"/>
  <c r="K17" i="81" s="1"/>
  <c r="T17" i="81" s="1"/>
  <c r="H17" i="81"/>
  <c r="F20" i="56"/>
  <c r="I20" i="56" s="1"/>
  <c r="H20" i="56"/>
  <c r="F17" i="56"/>
  <c r="H17" i="56"/>
  <c r="F20" i="59"/>
  <c r="I20" i="59" s="1"/>
  <c r="K20" i="59" s="1"/>
  <c r="H20" i="59"/>
  <c r="F17" i="59"/>
  <c r="I17" i="59" s="1"/>
  <c r="J17" i="59" s="1"/>
  <c r="H17" i="59"/>
  <c r="F20" i="62"/>
  <c r="I20" i="62"/>
  <c r="H20" i="62"/>
  <c r="F17" i="62"/>
  <c r="I17" i="62" s="1"/>
  <c r="H17" i="62"/>
  <c r="F18" i="62"/>
  <c r="I18" i="62" s="1"/>
  <c r="F19" i="62"/>
  <c r="I19" i="62" s="1"/>
  <c r="J19" i="62" s="1"/>
  <c r="M38" i="85" s="1"/>
  <c r="L38" i="85" s="1"/>
  <c r="K38" i="85" s="1"/>
  <c r="F20" i="65"/>
  <c r="I20" i="65" s="1"/>
  <c r="J20" i="65" s="1"/>
  <c r="H20" i="65"/>
  <c r="H17" i="65"/>
  <c r="F20" i="68"/>
  <c r="I20" i="68" s="1"/>
  <c r="H20" i="68"/>
  <c r="F17" i="68"/>
  <c r="I17" i="68" s="1"/>
  <c r="K17" i="68" s="1"/>
  <c r="T17" i="68" s="1"/>
  <c r="V8" i="69" s="1"/>
  <c r="H17" i="68"/>
  <c r="F20" i="71"/>
  <c r="H20" i="71"/>
  <c r="H17" i="71"/>
  <c r="F20" i="78"/>
  <c r="I20" i="78"/>
  <c r="H20" i="78"/>
  <c r="H17" i="78"/>
  <c r="N29" i="85"/>
  <c r="N28" i="85"/>
  <c r="N27" i="85"/>
  <c r="N26" i="85"/>
  <c r="N25" i="85"/>
  <c r="N24" i="85"/>
  <c r="N23" i="85"/>
  <c r="N22" i="85"/>
  <c r="N21" i="85"/>
  <c r="B4" i="85"/>
  <c r="I4" i="85"/>
  <c r="A5" i="85"/>
  <c r="B5" i="85"/>
  <c r="A6" i="85"/>
  <c r="B6" i="85"/>
  <c r="K9" i="77"/>
  <c r="M9" i="77"/>
  <c r="N9" i="77"/>
  <c r="J9" i="77"/>
  <c r="K6" i="77"/>
  <c r="M6" i="77"/>
  <c r="N6" i="77"/>
  <c r="D17" i="78"/>
  <c r="G17" i="78"/>
  <c r="A7" i="85"/>
  <c r="B7" i="85"/>
  <c r="A8" i="85"/>
  <c r="B8" i="85"/>
  <c r="K9" i="70"/>
  <c r="J9" i="70"/>
  <c r="M9" i="70"/>
  <c r="K6" i="70"/>
  <c r="M6" i="70"/>
  <c r="A9" i="85"/>
  <c r="B9" i="85"/>
  <c r="A10" i="85"/>
  <c r="B10" i="85"/>
  <c r="K9" i="67"/>
  <c r="M9" i="67"/>
  <c r="J9" i="67"/>
  <c r="K6" i="67"/>
  <c r="M6" i="67" s="1"/>
  <c r="J6" i="67"/>
  <c r="A11" i="85"/>
  <c r="B11" i="85"/>
  <c r="K9" i="64"/>
  <c r="M9" i="64"/>
  <c r="N9" i="64"/>
  <c r="D20" i="65"/>
  <c r="G20" i="65"/>
  <c r="J9" i="64"/>
  <c r="A12" i="85"/>
  <c r="B12" i="85"/>
  <c r="K9" i="61"/>
  <c r="M9" i="61"/>
  <c r="J9" i="61"/>
  <c r="A13" i="85"/>
  <c r="B13" i="85"/>
  <c r="K9" i="58"/>
  <c r="J9" i="58"/>
  <c r="M9" i="58"/>
  <c r="K6" i="58"/>
  <c r="J6" i="58"/>
  <c r="A14" i="85"/>
  <c r="B14" i="85"/>
  <c r="K9" i="55"/>
  <c r="M9" i="55"/>
  <c r="J9" i="55"/>
  <c r="K6" i="55"/>
  <c r="J6" i="55"/>
  <c r="A15" i="85"/>
  <c r="B15" i="85"/>
  <c r="K9" i="80"/>
  <c r="M9" i="80"/>
  <c r="N9" i="80"/>
  <c r="D20" i="81"/>
  <c r="G20" i="81"/>
  <c r="J9" i="80"/>
  <c r="K6" i="80"/>
  <c r="J6" i="80"/>
  <c r="A16" i="85"/>
  <c r="B16" i="85"/>
  <c r="K9" i="31"/>
  <c r="M9" i="31"/>
  <c r="J9" i="31"/>
  <c r="A17" i="85"/>
  <c r="B17" i="85"/>
  <c r="A18" i="85"/>
  <c r="B18" i="85"/>
  <c r="A19" i="85"/>
  <c r="B19" i="85"/>
  <c r="A20" i="85"/>
  <c r="B20" i="85"/>
  <c r="A21" i="85"/>
  <c r="B21" i="85"/>
  <c r="A22" i="85"/>
  <c r="B22" i="85"/>
  <c r="A23" i="85"/>
  <c r="B23" i="85"/>
  <c r="A24" i="85"/>
  <c r="B24" i="85"/>
  <c r="A25" i="85"/>
  <c r="B25" i="85"/>
  <c r="A26" i="85"/>
  <c r="B26" i="85"/>
  <c r="A27" i="85"/>
  <c r="B27" i="85"/>
  <c r="A28" i="85"/>
  <c r="B28" i="85"/>
  <c r="A29" i="85"/>
  <c r="B29" i="85"/>
  <c r="A30" i="85"/>
  <c r="B30" i="85"/>
  <c r="A31" i="85"/>
  <c r="B31" i="85"/>
  <c r="A32" i="85"/>
  <c r="B32" i="85"/>
  <c r="A33" i="85"/>
  <c r="B33" i="85"/>
  <c r="A34" i="85"/>
  <c r="B34" i="85"/>
  <c r="A35" i="85"/>
  <c r="B35" i="85"/>
  <c r="A36" i="85"/>
  <c r="B36" i="85"/>
  <c r="A37" i="85"/>
  <c r="B37" i="85"/>
  <c r="A38" i="85"/>
  <c r="B38" i="85"/>
  <c r="A39" i="85"/>
  <c r="B39" i="85"/>
  <c r="A40" i="85"/>
  <c r="B40" i="85"/>
  <c r="F2" i="79"/>
  <c r="F18" i="78"/>
  <c r="H18" i="78"/>
  <c r="K7" i="77"/>
  <c r="J7" i="77"/>
  <c r="H18" i="71"/>
  <c r="K7" i="70"/>
  <c r="J7" i="70"/>
  <c r="M7" i="70"/>
  <c r="N7" i="70"/>
  <c r="D18" i="71"/>
  <c r="G18" i="71" s="1"/>
  <c r="F18" i="68"/>
  <c r="I18" i="68" s="1"/>
  <c r="J18" i="68" s="1"/>
  <c r="AN18" i="68" s="1"/>
  <c r="H18" i="68"/>
  <c r="K7" i="67"/>
  <c r="M7" i="67"/>
  <c r="J7" i="67"/>
  <c r="F18" i="65"/>
  <c r="I18" i="65" s="1"/>
  <c r="H18" i="65"/>
  <c r="K7" i="64"/>
  <c r="J7" i="64"/>
  <c r="H18" i="62"/>
  <c r="K7" i="61"/>
  <c r="J7" i="61"/>
  <c r="M7" i="61"/>
  <c r="W14" i="84"/>
  <c r="F18" i="59"/>
  <c r="I18" i="59" s="1"/>
  <c r="K18" i="59" s="1"/>
  <c r="Q18" i="59" s="1"/>
  <c r="H18" i="59"/>
  <c r="F19" i="59"/>
  <c r="I19" i="59" s="1"/>
  <c r="K19" i="59" s="1"/>
  <c r="Z19" i="59" s="1"/>
  <c r="K7" i="58"/>
  <c r="J7" i="58"/>
  <c r="F18" i="56"/>
  <c r="I18" i="56" s="1"/>
  <c r="K18" i="56" s="1"/>
  <c r="H18" i="56"/>
  <c r="F19" i="56"/>
  <c r="K7" i="55"/>
  <c r="J7" i="55"/>
  <c r="F18" i="81"/>
  <c r="I18" i="81" s="1"/>
  <c r="K18" i="81" s="1"/>
  <c r="Z18" i="81" s="1"/>
  <c r="H18" i="81"/>
  <c r="F19" i="81"/>
  <c r="K7" i="80"/>
  <c r="M7" i="80"/>
  <c r="J7" i="80"/>
  <c r="N7" i="80"/>
  <c r="D18" i="81"/>
  <c r="G18" i="81"/>
  <c r="F23" i="47"/>
  <c r="I23" i="47" s="1"/>
  <c r="J23" i="47" s="1"/>
  <c r="AM23" i="47" s="1"/>
  <c r="H23" i="47"/>
  <c r="P23" i="47"/>
  <c r="O23" i="47"/>
  <c r="S23" i="47"/>
  <c r="R23" i="47"/>
  <c r="V23" i="47"/>
  <c r="U23" i="47"/>
  <c r="Y23" i="47"/>
  <c r="X23" i="47"/>
  <c r="AB23" i="47"/>
  <c r="AA23" i="47"/>
  <c r="K12" i="31"/>
  <c r="M12" i="31"/>
  <c r="J12" i="31"/>
  <c r="B4" i="84"/>
  <c r="A5" i="84"/>
  <c r="B5" i="84"/>
  <c r="A6" i="84"/>
  <c r="B6" i="84"/>
  <c r="G4" i="84"/>
  <c r="A7" i="84"/>
  <c r="B7" i="84"/>
  <c r="A8" i="84"/>
  <c r="B8" i="84"/>
  <c r="A9" i="84"/>
  <c r="B9" i="84"/>
  <c r="A10" i="84"/>
  <c r="B10" i="84"/>
  <c r="A11" i="84"/>
  <c r="B11" i="84"/>
  <c r="A12" i="84"/>
  <c r="B12" i="84"/>
  <c r="A13" i="84"/>
  <c r="B13" i="84"/>
  <c r="A14" i="84"/>
  <c r="B14" i="84"/>
  <c r="A15" i="84"/>
  <c r="B15" i="84"/>
  <c r="A16" i="84"/>
  <c r="B16" i="84"/>
  <c r="A17" i="84"/>
  <c r="B17" i="84"/>
  <c r="A18" i="84"/>
  <c r="B18" i="84"/>
  <c r="A19" i="84"/>
  <c r="B19" i="84"/>
  <c r="A20" i="84"/>
  <c r="B20" i="84"/>
  <c r="A21" i="84"/>
  <c r="B21" i="84"/>
  <c r="A22" i="84"/>
  <c r="B22" i="84"/>
  <c r="A23" i="84"/>
  <c r="B23" i="84"/>
  <c r="A24" i="84"/>
  <c r="B24" i="84"/>
  <c r="A25" i="84"/>
  <c r="B25" i="84"/>
  <c r="A26" i="84"/>
  <c r="B26" i="84"/>
  <c r="A27" i="84"/>
  <c r="B27" i="84"/>
  <c r="A28" i="84"/>
  <c r="B28" i="84"/>
  <c r="A29" i="84"/>
  <c r="B29" i="84"/>
  <c r="A30" i="84"/>
  <c r="B30" i="84"/>
  <c r="A31" i="84"/>
  <c r="B31" i="84"/>
  <c r="A32" i="84"/>
  <c r="B32" i="84"/>
  <c r="A33" i="84"/>
  <c r="B33" i="84"/>
  <c r="A34" i="84"/>
  <c r="B34" i="84"/>
  <c r="A35" i="84"/>
  <c r="B35" i="84"/>
  <c r="A36" i="84"/>
  <c r="B36" i="84"/>
  <c r="A37" i="84"/>
  <c r="B37" i="84"/>
  <c r="A38" i="84"/>
  <c r="B38" i="84"/>
  <c r="A39" i="84"/>
  <c r="B39" i="84"/>
  <c r="A40" i="84"/>
  <c r="B40" i="84"/>
  <c r="C6" i="80"/>
  <c r="C7" i="80"/>
  <c r="C8" i="80"/>
  <c r="J8" i="80"/>
  <c r="K8" i="80"/>
  <c r="M8" i="80"/>
  <c r="C9" i="80"/>
  <c r="C10" i="80"/>
  <c r="J10" i="80"/>
  <c r="K10" i="80"/>
  <c r="M10" i="80"/>
  <c r="N10" i="80"/>
  <c r="D21" i="81"/>
  <c r="G21" i="81"/>
  <c r="C11" i="80"/>
  <c r="J11" i="80"/>
  <c r="K11" i="80"/>
  <c r="M11" i="80"/>
  <c r="N11" i="80"/>
  <c r="D22" i="81"/>
  <c r="G22" i="81"/>
  <c r="C12" i="80"/>
  <c r="J12" i="80"/>
  <c r="K12" i="80"/>
  <c r="M12" i="80"/>
  <c r="N12" i="80"/>
  <c r="D23" i="81"/>
  <c r="G23" i="81"/>
  <c r="C13" i="80"/>
  <c r="J13" i="80"/>
  <c r="K13" i="80"/>
  <c r="M13" i="80"/>
  <c r="N13" i="80"/>
  <c r="D24" i="81"/>
  <c r="G24" i="81"/>
  <c r="C14" i="80"/>
  <c r="J14" i="80"/>
  <c r="K14" i="80"/>
  <c r="M14" i="80"/>
  <c r="N14" i="80"/>
  <c r="D25" i="81"/>
  <c r="G25" i="81"/>
  <c r="C15" i="80"/>
  <c r="J15" i="80"/>
  <c r="K15" i="80"/>
  <c r="M15" i="80"/>
  <c r="N15" i="80"/>
  <c r="D26" i="81"/>
  <c r="G26" i="81"/>
  <c r="C16" i="80"/>
  <c r="J16" i="80"/>
  <c r="K16" i="80"/>
  <c r="M16" i="80"/>
  <c r="N16" i="80"/>
  <c r="D27" i="81"/>
  <c r="G27" i="81"/>
  <c r="C17" i="80"/>
  <c r="J17" i="80"/>
  <c r="K17" i="80"/>
  <c r="M17" i="80"/>
  <c r="N17" i="80"/>
  <c r="D28" i="81"/>
  <c r="G28" i="81"/>
  <c r="C18" i="80"/>
  <c r="J18" i="80"/>
  <c r="K18" i="80"/>
  <c r="M18" i="80"/>
  <c r="N18" i="80"/>
  <c r="D29" i="81"/>
  <c r="G29" i="81"/>
  <c r="C19" i="80"/>
  <c r="J19" i="80"/>
  <c r="K19" i="80"/>
  <c r="M19" i="80"/>
  <c r="N19" i="80"/>
  <c r="D30" i="81"/>
  <c r="G30" i="81"/>
  <c r="C20" i="80"/>
  <c r="J20" i="80"/>
  <c r="K20" i="80"/>
  <c r="M20" i="80"/>
  <c r="N20" i="80"/>
  <c r="D31" i="81"/>
  <c r="G31" i="81"/>
  <c r="C21" i="80"/>
  <c r="J21" i="80"/>
  <c r="K21" i="80"/>
  <c r="M21" i="80"/>
  <c r="N21" i="80"/>
  <c r="D32" i="81"/>
  <c r="G32" i="81"/>
  <c r="C22" i="80"/>
  <c r="J22" i="80"/>
  <c r="K22" i="80"/>
  <c r="M22" i="80"/>
  <c r="N22" i="80"/>
  <c r="D33" i="81"/>
  <c r="G33" i="81"/>
  <c r="C23" i="80"/>
  <c r="J23" i="80"/>
  <c r="K23" i="80"/>
  <c r="M23" i="80"/>
  <c r="N23" i="80"/>
  <c r="D34" i="81"/>
  <c r="G34" i="81"/>
  <c r="C24" i="80"/>
  <c r="J24" i="80"/>
  <c r="K24" i="80"/>
  <c r="M24" i="80"/>
  <c r="N24" i="80"/>
  <c r="D35" i="81"/>
  <c r="G35" i="81"/>
  <c r="C25" i="80"/>
  <c r="J25" i="80"/>
  <c r="K25" i="80"/>
  <c r="M25" i="80"/>
  <c r="N25" i="80"/>
  <c r="D36" i="81"/>
  <c r="G36" i="81"/>
  <c r="C26" i="80"/>
  <c r="J26" i="80"/>
  <c r="K26" i="80"/>
  <c r="M26" i="80"/>
  <c r="N26" i="80"/>
  <c r="D37" i="81"/>
  <c r="G37" i="81"/>
  <c r="C27" i="80"/>
  <c r="J27" i="80"/>
  <c r="K27" i="80"/>
  <c r="M27" i="80"/>
  <c r="N27" i="80"/>
  <c r="D38" i="81"/>
  <c r="G38" i="81"/>
  <c r="C28" i="80"/>
  <c r="J28" i="80"/>
  <c r="J42" i="80"/>
  <c r="J43" i="80"/>
  <c r="K28" i="80"/>
  <c r="M28" i="80"/>
  <c r="N28" i="80"/>
  <c r="D39" i="81"/>
  <c r="G39" i="81"/>
  <c r="C29" i="80"/>
  <c r="J29" i="80"/>
  <c r="K29" i="80"/>
  <c r="M29" i="80"/>
  <c r="N29" i="80"/>
  <c r="D40" i="81"/>
  <c r="G40" i="81"/>
  <c r="C30" i="80"/>
  <c r="J30" i="80"/>
  <c r="K30" i="80"/>
  <c r="M30" i="80"/>
  <c r="N30" i="80"/>
  <c r="D41" i="81"/>
  <c r="G41" i="81"/>
  <c r="C31" i="80"/>
  <c r="J31" i="80"/>
  <c r="K31" i="80"/>
  <c r="M31" i="80"/>
  <c r="N31" i="80"/>
  <c r="D42" i="81"/>
  <c r="G42" i="81"/>
  <c r="C32" i="80"/>
  <c r="J32" i="80"/>
  <c r="K32" i="80"/>
  <c r="M32" i="80"/>
  <c r="N32" i="80"/>
  <c r="D43" i="81"/>
  <c r="G43" i="81"/>
  <c r="C33" i="80"/>
  <c r="J33" i="80"/>
  <c r="K33" i="80"/>
  <c r="M33" i="80"/>
  <c r="N33" i="80"/>
  <c r="D44" i="81"/>
  <c r="G44" i="81"/>
  <c r="C34" i="80"/>
  <c r="J34" i="80"/>
  <c r="K34" i="80"/>
  <c r="M34" i="80"/>
  <c r="N34" i="80"/>
  <c r="D45" i="81"/>
  <c r="G45" i="81"/>
  <c r="C35" i="80"/>
  <c r="J35" i="80"/>
  <c r="K35" i="80"/>
  <c r="M35" i="80"/>
  <c r="N35" i="80"/>
  <c r="D46" i="81"/>
  <c r="G46" i="81"/>
  <c r="C36" i="80"/>
  <c r="J36" i="80"/>
  <c r="K36" i="80"/>
  <c r="M36" i="80"/>
  <c r="N36" i="80"/>
  <c r="D47" i="81"/>
  <c r="G47" i="81"/>
  <c r="C37" i="80"/>
  <c r="J37" i="80"/>
  <c r="K37" i="80"/>
  <c r="M37" i="80"/>
  <c r="N37" i="80"/>
  <c r="D48" i="81"/>
  <c r="G48" i="81"/>
  <c r="C38" i="80"/>
  <c r="J38" i="80"/>
  <c r="K38" i="80"/>
  <c r="M38" i="80"/>
  <c r="N38" i="80"/>
  <c r="D49" i="81"/>
  <c r="G49" i="81"/>
  <c r="C39" i="80"/>
  <c r="J39" i="80"/>
  <c r="K39" i="80"/>
  <c r="M39" i="80"/>
  <c r="N39" i="80"/>
  <c r="D50" i="81"/>
  <c r="G50" i="81"/>
  <c r="C40" i="80"/>
  <c r="J40" i="80"/>
  <c r="K40" i="80"/>
  <c r="M40" i="80"/>
  <c r="N40" i="80"/>
  <c r="D51" i="81"/>
  <c r="G51" i="81"/>
  <c r="C41" i="80"/>
  <c r="J41" i="80"/>
  <c r="K41" i="80"/>
  <c r="M41" i="80"/>
  <c r="N41" i="80"/>
  <c r="D52" i="81"/>
  <c r="G52" i="81"/>
  <c r="D42" i="80"/>
  <c r="D43" i="80"/>
  <c r="E42" i="80"/>
  <c r="E43" i="80"/>
  <c r="F42" i="80"/>
  <c r="F43" i="80"/>
  <c r="G42" i="80"/>
  <c r="H42" i="80"/>
  <c r="H43" i="80"/>
  <c r="I42" i="80"/>
  <c r="I43" i="80"/>
  <c r="G43" i="80"/>
  <c r="L43" i="80"/>
  <c r="B42" i="30"/>
  <c r="C44" i="55"/>
  <c r="J1" i="81"/>
  <c r="AD1" i="81"/>
  <c r="U1" i="81"/>
  <c r="U2" i="81"/>
  <c r="E7" i="81"/>
  <c r="B17" i="81"/>
  <c r="P17" i="81"/>
  <c r="S17" i="81"/>
  <c r="R17" i="81"/>
  <c r="V17" i="81"/>
  <c r="Y17" i="81"/>
  <c r="X17" i="81"/>
  <c r="AB17" i="81"/>
  <c r="AA17" i="81"/>
  <c r="T14" i="82"/>
  <c r="AW17" i="81"/>
  <c r="AY17" i="81"/>
  <c r="BA17" i="81"/>
  <c r="BC17" i="81"/>
  <c r="BD17" i="81"/>
  <c r="BF17" i="81"/>
  <c r="BG17" i="81"/>
  <c r="B18" i="81"/>
  <c r="P18" i="81"/>
  <c r="O18" i="81"/>
  <c r="S18" i="81"/>
  <c r="U8" i="82"/>
  <c r="R18" i="81"/>
  <c r="T8" i="82"/>
  <c r="V18" i="81"/>
  <c r="U18" i="81"/>
  <c r="Y18" i="81"/>
  <c r="X18" i="81"/>
  <c r="T12" i="82"/>
  <c r="AB18" i="81"/>
  <c r="AA18" i="81"/>
  <c r="AW18" i="81"/>
  <c r="AY18" i="81"/>
  <c r="BA18" i="81"/>
  <c r="BC18" i="81"/>
  <c r="BD18" i="81"/>
  <c r="BF18" i="81"/>
  <c r="BG18" i="81"/>
  <c r="B19" i="81"/>
  <c r="H19" i="81"/>
  <c r="I19" i="81"/>
  <c r="J19" i="81" s="1"/>
  <c r="AM19" i="81" s="1"/>
  <c r="P19" i="81"/>
  <c r="O19" i="81"/>
  <c r="S19" i="81"/>
  <c r="R19" i="81"/>
  <c r="V19" i="81"/>
  <c r="U19" i="81"/>
  <c r="Y19" i="81"/>
  <c r="X19" i="81"/>
  <c r="AB19" i="81"/>
  <c r="AA19" i="81"/>
  <c r="AW19" i="81"/>
  <c r="AY19" i="81"/>
  <c r="BA19" i="81"/>
  <c r="BC19" i="81"/>
  <c r="BD19" i="81"/>
  <c r="BF19" i="81"/>
  <c r="BG19" i="81"/>
  <c r="B20" i="81"/>
  <c r="P20" i="81"/>
  <c r="O20" i="81"/>
  <c r="S20" i="81"/>
  <c r="R20" i="81"/>
  <c r="V20" i="81"/>
  <c r="U20" i="81"/>
  <c r="Y20" i="81"/>
  <c r="X20" i="81"/>
  <c r="AB20" i="81"/>
  <c r="AA20" i="81"/>
  <c r="AW20" i="81"/>
  <c r="AY20" i="81"/>
  <c r="BA20" i="81"/>
  <c r="BC20" i="81"/>
  <c r="BD20" i="81"/>
  <c r="BF20" i="81"/>
  <c r="BG20" i="81"/>
  <c r="B21" i="81"/>
  <c r="F21" i="81"/>
  <c r="I21" i="81" s="1"/>
  <c r="K21" i="81" s="1"/>
  <c r="T21" i="81" s="1"/>
  <c r="H21" i="81"/>
  <c r="P21" i="81"/>
  <c r="O21" i="81"/>
  <c r="S21" i="81"/>
  <c r="R21" i="81"/>
  <c r="V21" i="81"/>
  <c r="U21" i="81"/>
  <c r="Y21" i="81"/>
  <c r="X21" i="81"/>
  <c r="AB21" i="81"/>
  <c r="AA21" i="81"/>
  <c r="AW21" i="81"/>
  <c r="AY21" i="81"/>
  <c r="BA21" i="81"/>
  <c r="BC21" i="81"/>
  <c r="BD21" i="81"/>
  <c r="BF21" i="81"/>
  <c r="BG21" i="81"/>
  <c r="B22" i="81"/>
  <c r="F22" i="81"/>
  <c r="I22" i="81" s="1"/>
  <c r="K22" i="81" s="1"/>
  <c r="W22" i="81" s="1"/>
  <c r="H22" i="81"/>
  <c r="P22" i="81"/>
  <c r="O22" i="81"/>
  <c r="S22" i="81"/>
  <c r="R22" i="81"/>
  <c r="V22" i="81"/>
  <c r="U22" i="81"/>
  <c r="Y22" i="81"/>
  <c r="X22" i="81"/>
  <c r="AB22" i="81"/>
  <c r="AA22" i="81"/>
  <c r="AW22" i="81"/>
  <c r="AY22" i="81"/>
  <c r="BA22" i="81"/>
  <c r="BC22" i="81"/>
  <c r="BD22" i="81"/>
  <c r="BF22" i="81"/>
  <c r="BG22" i="81"/>
  <c r="B23" i="81"/>
  <c r="F23" i="81"/>
  <c r="I23" i="81" s="1"/>
  <c r="H23" i="81"/>
  <c r="P23" i="81"/>
  <c r="O23" i="81"/>
  <c r="S23" i="81"/>
  <c r="R23" i="81"/>
  <c r="V23" i="81"/>
  <c r="U23" i="81"/>
  <c r="Y23" i="81"/>
  <c r="X23" i="81"/>
  <c r="AB23" i="81"/>
  <c r="AA23" i="81"/>
  <c r="AW23" i="81"/>
  <c r="AY23" i="81"/>
  <c r="BA23" i="81"/>
  <c r="BC23" i="81"/>
  <c r="BD23" i="81"/>
  <c r="BF23" i="81"/>
  <c r="BG23" i="81"/>
  <c r="B24" i="81"/>
  <c r="F24" i="81"/>
  <c r="I24" i="81" s="1"/>
  <c r="H24" i="81"/>
  <c r="P24" i="81"/>
  <c r="O24" i="81"/>
  <c r="S24" i="81"/>
  <c r="R24" i="81"/>
  <c r="V24" i="81"/>
  <c r="U24" i="81"/>
  <c r="Y24" i="81"/>
  <c r="X24" i="81"/>
  <c r="AB24" i="81"/>
  <c r="AA24" i="81"/>
  <c r="AW24" i="81"/>
  <c r="AY24" i="81"/>
  <c r="BA24" i="81"/>
  <c r="BC24" i="81"/>
  <c r="BD24" i="81"/>
  <c r="BF24" i="81"/>
  <c r="BG24" i="81"/>
  <c r="B25" i="81"/>
  <c r="F25" i="81"/>
  <c r="I25" i="81" s="1"/>
  <c r="H25" i="81"/>
  <c r="P25" i="81"/>
  <c r="O25" i="81"/>
  <c r="S25" i="81"/>
  <c r="R25" i="81"/>
  <c r="V25" i="81"/>
  <c r="U25" i="81"/>
  <c r="Y25" i="81"/>
  <c r="X25" i="81"/>
  <c r="AB25" i="81"/>
  <c r="AA25" i="81"/>
  <c r="AW25" i="81"/>
  <c r="AY25" i="81"/>
  <c r="BA25" i="81"/>
  <c r="BC25" i="81"/>
  <c r="BD25" i="81"/>
  <c r="BF25" i="81"/>
  <c r="BG25" i="81"/>
  <c r="B26" i="81"/>
  <c r="F26" i="81"/>
  <c r="I26" i="81" s="1"/>
  <c r="J26" i="81" s="1"/>
  <c r="AO26" i="81" s="1"/>
  <c r="H26" i="81"/>
  <c r="P26" i="81"/>
  <c r="O26" i="81"/>
  <c r="S26" i="81"/>
  <c r="R26" i="81"/>
  <c r="V26" i="81"/>
  <c r="U26" i="81"/>
  <c r="Y26" i="81"/>
  <c r="X26" i="81"/>
  <c r="AB26" i="81"/>
  <c r="AA26" i="81"/>
  <c r="AW26" i="81"/>
  <c r="AY26" i="81"/>
  <c r="BA26" i="81"/>
  <c r="BC26" i="81"/>
  <c r="BD26" i="81"/>
  <c r="BF26" i="81"/>
  <c r="BG26" i="81"/>
  <c r="B27" i="81"/>
  <c r="F27" i="81"/>
  <c r="I27" i="81" s="1"/>
  <c r="H27" i="81"/>
  <c r="P27" i="81"/>
  <c r="O27" i="81"/>
  <c r="S27" i="81"/>
  <c r="R27" i="81"/>
  <c r="V27" i="81"/>
  <c r="U27" i="81"/>
  <c r="Y27" i="81"/>
  <c r="X27" i="81"/>
  <c r="AB27" i="81"/>
  <c r="AA27" i="81"/>
  <c r="AW27" i="81"/>
  <c r="AY27" i="81"/>
  <c r="BA27" i="81"/>
  <c r="BC27" i="81"/>
  <c r="BD27" i="81"/>
  <c r="BF27" i="81"/>
  <c r="BG27" i="81"/>
  <c r="B28" i="81"/>
  <c r="F28" i="81"/>
  <c r="I28" i="81" s="1"/>
  <c r="H28" i="81"/>
  <c r="P28" i="81"/>
  <c r="O28" i="81"/>
  <c r="S28" i="81"/>
  <c r="R28" i="81"/>
  <c r="V28" i="81"/>
  <c r="U28" i="81"/>
  <c r="Y28" i="81"/>
  <c r="X28" i="81"/>
  <c r="AB28" i="81"/>
  <c r="AA28" i="81"/>
  <c r="AW28" i="81"/>
  <c r="AY28" i="81"/>
  <c r="BA28" i="81"/>
  <c r="BC28" i="81"/>
  <c r="BD28" i="81"/>
  <c r="BF28" i="81"/>
  <c r="BG28" i="81"/>
  <c r="B29" i="81"/>
  <c r="F29" i="81"/>
  <c r="I29" i="81"/>
  <c r="H29" i="81"/>
  <c r="P29" i="81"/>
  <c r="O29" i="81"/>
  <c r="S29" i="81"/>
  <c r="R29" i="81"/>
  <c r="V29" i="81"/>
  <c r="U29" i="81"/>
  <c r="Y29" i="81"/>
  <c r="X29" i="81"/>
  <c r="AB29" i="81"/>
  <c r="AA29" i="81"/>
  <c r="AW29" i="81"/>
  <c r="AY29" i="81"/>
  <c r="BA29" i="81"/>
  <c r="BC29" i="81"/>
  <c r="BD29" i="81"/>
  <c r="BF29" i="81"/>
  <c r="BG29" i="81"/>
  <c r="B30" i="81"/>
  <c r="F30" i="81"/>
  <c r="I30" i="81" s="1"/>
  <c r="H30" i="81"/>
  <c r="P30" i="81"/>
  <c r="O30" i="81"/>
  <c r="S30" i="81"/>
  <c r="R30" i="81"/>
  <c r="V30" i="81"/>
  <c r="U30" i="81"/>
  <c r="Y30" i="81"/>
  <c r="X30" i="81"/>
  <c r="AB30" i="81"/>
  <c r="AA30" i="81"/>
  <c r="AW30" i="81"/>
  <c r="AY30" i="81"/>
  <c r="BA30" i="81"/>
  <c r="BC30" i="81"/>
  <c r="BD30" i="81"/>
  <c r="BF30" i="81"/>
  <c r="BG30" i="81"/>
  <c r="B31" i="81"/>
  <c r="F31" i="81"/>
  <c r="I31" i="81" s="1"/>
  <c r="H31" i="81"/>
  <c r="P31" i="81"/>
  <c r="O31" i="81"/>
  <c r="S31" i="81"/>
  <c r="R31" i="81"/>
  <c r="V31" i="81"/>
  <c r="U31" i="81"/>
  <c r="Y31" i="81"/>
  <c r="X31" i="81"/>
  <c r="AB31" i="81"/>
  <c r="AA31" i="81"/>
  <c r="AW31" i="81"/>
  <c r="AY31" i="81"/>
  <c r="BA31" i="81"/>
  <c r="BC31" i="81"/>
  <c r="BD31" i="81"/>
  <c r="BF31" i="81"/>
  <c r="BG31" i="81"/>
  <c r="B32" i="81"/>
  <c r="F32" i="81"/>
  <c r="I32" i="81" s="1"/>
  <c r="K32" i="81" s="1"/>
  <c r="H32" i="81"/>
  <c r="P32" i="81"/>
  <c r="O32" i="81"/>
  <c r="S32" i="81"/>
  <c r="R32" i="81"/>
  <c r="V32" i="81"/>
  <c r="U32" i="81"/>
  <c r="Y32" i="81"/>
  <c r="X32" i="81"/>
  <c r="AB32" i="81"/>
  <c r="AA32" i="81"/>
  <c r="AW32" i="81"/>
  <c r="AY32" i="81"/>
  <c r="BA32" i="81"/>
  <c r="BC32" i="81"/>
  <c r="BD32" i="81"/>
  <c r="BF32" i="81"/>
  <c r="BG32" i="81"/>
  <c r="B33" i="81"/>
  <c r="F33" i="81"/>
  <c r="I33" i="81" s="1"/>
  <c r="K33" i="81" s="1"/>
  <c r="H33" i="81"/>
  <c r="P33" i="81"/>
  <c r="O33" i="81"/>
  <c r="S33" i="81"/>
  <c r="R33" i="81"/>
  <c r="V33" i="81"/>
  <c r="U33" i="81"/>
  <c r="Y33" i="81"/>
  <c r="X33" i="81"/>
  <c r="AB33" i="81"/>
  <c r="AA33" i="81"/>
  <c r="AW33" i="81"/>
  <c r="AY33" i="81"/>
  <c r="BA33" i="81"/>
  <c r="BC33" i="81"/>
  <c r="BD33" i="81"/>
  <c r="BF33" i="81"/>
  <c r="BG33" i="81"/>
  <c r="B34" i="81"/>
  <c r="F34" i="81"/>
  <c r="I34" i="81" s="1"/>
  <c r="H34" i="81"/>
  <c r="P34" i="81"/>
  <c r="O34" i="81"/>
  <c r="S34" i="81"/>
  <c r="R34" i="81"/>
  <c r="V34" i="81"/>
  <c r="U34" i="81"/>
  <c r="Y34" i="81"/>
  <c r="X34" i="81"/>
  <c r="AB34" i="81"/>
  <c r="AA34" i="81"/>
  <c r="AW34" i="81"/>
  <c r="AY34" i="81"/>
  <c r="BA34" i="81"/>
  <c r="BC34" i="81"/>
  <c r="BD34" i="81"/>
  <c r="BF34" i="81"/>
  <c r="BG34" i="81"/>
  <c r="B35" i="81"/>
  <c r="F35" i="81"/>
  <c r="I35" i="81" s="1"/>
  <c r="H35" i="81"/>
  <c r="P35" i="81"/>
  <c r="O35" i="81"/>
  <c r="S35" i="81"/>
  <c r="R35" i="81"/>
  <c r="V35" i="81"/>
  <c r="U35" i="81"/>
  <c r="Y35" i="81"/>
  <c r="X35" i="81"/>
  <c r="AB35" i="81"/>
  <c r="AA35" i="81"/>
  <c r="AW35" i="81"/>
  <c r="AY35" i="81"/>
  <c r="BA35" i="81"/>
  <c r="BC35" i="81"/>
  <c r="BD35" i="81"/>
  <c r="BF35" i="81"/>
  <c r="BG35" i="81"/>
  <c r="B36" i="81"/>
  <c r="F36" i="81"/>
  <c r="I36" i="81"/>
  <c r="H36" i="81"/>
  <c r="P36" i="81"/>
  <c r="O36" i="81"/>
  <c r="S36" i="81"/>
  <c r="R36" i="81"/>
  <c r="V36" i="81"/>
  <c r="U36" i="81"/>
  <c r="Y36" i="81"/>
  <c r="X36" i="81"/>
  <c r="AB36" i="81"/>
  <c r="AA36" i="81"/>
  <c r="AW36" i="81"/>
  <c r="AY36" i="81"/>
  <c r="BA36" i="81"/>
  <c r="BC36" i="81"/>
  <c r="BD36" i="81"/>
  <c r="BF36" i="81"/>
  <c r="BG36" i="81"/>
  <c r="B37" i="81"/>
  <c r="F37" i="81"/>
  <c r="I37" i="81" s="1"/>
  <c r="H37" i="81"/>
  <c r="P37" i="81"/>
  <c r="O37" i="81"/>
  <c r="S37" i="81"/>
  <c r="R37" i="81"/>
  <c r="V37" i="81"/>
  <c r="U37" i="81"/>
  <c r="Y37" i="81"/>
  <c r="X37" i="81"/>
  <c r="AB37" i="81"/>
  <c r="AA37" i="81"/>
  <c r="AW37" i="81"/>
  <c r="AY37" i="81"/>
  <c r="BA37" i="81"/>
  <c r="BC37" i="81"/>
  <c r="BD37" i="81"/>
  <c r="BF37" i="81"/>
  <c r="BG37" i="81"/>
  <c r="B38" i="81"/>
  <c r="F38" i="81"/>
  <c r="I38" i="81" s="1"/>
  <c r="H38" i="81"/>
  <c r="P38" i="81"/>
  <c r="O38" i="81"/>
  <c r="S38" i="81"/>
  <c r="R38" i="81"/>
  <c r="V38" i="81"/>
  <c r="U38" i="81"/>
  <c r="Y38" i="81"/>
  <c r="X38" i="81"/>
  <c r="AB38" i="81"/>
  <c r="AA38" i="81"/>
  <c r="AW38" i="81"/>
  <c r="AY38" i="81"/>
  <c r="BA38" i="81"/>
  <c r="BC38" i="81"/>
  <c r="BD38" i="81"/>
  <c r="BF38" i="81"/>
  <c r="BG38" i="81"/>
  <c r="B39" i="81"/>
  <c r="F39" i="81"/>
  <c r="I39" i="81" s="1"/>
  <c r="H39" i="81"/>
  <c r="P39" i="81"/>
  <c r="O39" i="81"/>
  <c r="S39" i="81"/>
  <c r="R39" i="81"/>
  <c r="V39" i="81"/>
  <c r="U39" i="81"/>
  <c r="Y39" i="81"/>
  <c r="X39" i="81"/>
  <c r="AB39" i="81"/>
  <c r="AA39" i="81"/>
  <c r="AW39" i="81"/>
  <c r="AY39" i="81"/>
  <c r="BA39" i="81"/>
  <c r="BC39" i="81"/>
  <c r="BD39" i="81"/>
  <c r="BF39" i="81"/>
  <c r="BG39" i="81"/>
  <c r="B40" i="81"/>
  <c r="F40" i="81"/>
  <c r="I40" i="81" s="1"/>
  <c r="H40" i="81"/>
  <c r="P40" i="81"/>
  <c r="O40" i="81"/>
  <c r="S40" i="81"/>
  <c r="R40" i="81"/>
  <c r="V40" i="81"/>
  <c r="U40" i="81"/>
  <c r="Y40" i="81"/>
  <c r="X40" i="81"/>
  <c r="AB40" i="81"/>
  <c r="AA40" i="81"/>
  <c r="AW40" i="81"/>
  <c r="AY40" i="81"/>
  <c r="BA40" i="81"/>
  <c r="BC40" i="81"/>
  <c r="BD40" i="81"/>
  <c r="BF40" i="81"/>
  <c r="BG40" i="81"/>
  <c r="B41" i="81"/>
  <c r="F41" i="81"/>
  <c r="H41" i="81"/>
  <c r="P41" i="81"/>
  <c r="O41" i="81"/>
  <c r="S41" i="81"/>
  <c r="R41" i="81"/>
  <c r="V41" i="81"/>
  <c r="U41" i="81"/>
  <c r="Y41" i="81"/>
  <c r="X41" i="81"/>
  <c r="AB41" i="81"/>
  <c r="AA41" i="81"/>
  <c r="AW41" i="81"/>
  <c r="AY41" i="81"/>
  <c r="BA41" i="81"/>
  <c r="BC41" i="81"/>
  <c r="BD41" i="81"/>
  <c r="BF41" i="81"/>
  <c r="BG41" i="81"/>
  <c r="B42" i="81"/>
  <c r="F42" i="81"/>
  <c r="I42" i="81" s="1"/>
  <c r="H42" i="81"/>
  <c r="P42" i="81"/>
  <c r="O42" i="81"/>
  <c r="S42" i="81"/>
  <c r="R42" i="81"/>
  <c r="V42" i="81"/>
  <c r="U42" i="81"/>
  <c r="Y42" i="81"/>
  <c r="X42" i="81"/>
  <c r="AB42" i="81"/>
  <c r="AA42" i="81"/>
  <c r="AW42" i="81"/>
  <c r="AX42" i="81"/>
  <c r="AY42" i="81"/>
  <c r="BA42" i="81"/>
  <c r="BC42" i="81"/>
  <c r="BD42" i="81"/>
  <c r="BF42" i="81"/>
  <c r="BG42" i="81"/>
  <c r="B43" i="81"/>
  <c r="F43" i="81"/>
  <c r="I43" i="81" s="1"/>
  <c r="J43" i="81" s="1"/>
  <c r="AD43" i="81" s="1"/>
  <c r="H43" i="81"/>
  <c r="P43" i="81"/>
  <c r="O43" i="81"/>
  <c r="S43" i="81"/>
  <c r="R43" i="81"/>
  <c r="V43" i="81"/>
  <c r="U43" i="81"/>
  <c r="Y43" i="81"/>
  <c r="X43" i="81"/>
  <c r="AB43" i="81"/>
  <c r="AA43" i="81"/>
  <c r="AW43" i="81"/>
  <c r="AX43" i="81"/>
  <c r="AY43" i="81"/>
  <c r="BA43" i="81"/>
  <c r="BC43" i="81"/>
  <c r="BD43" i="81"/>
  <c r="BF43" i="81"/>
  <c r="BG43" i="81"/>
  <c r="B44" i="81"/>
  <c r="F44" i="81"/>
  <c r="I44" i="81" s="1"/>
  <c r="K44" i="81" s="1"/>
  <c r="J44" i="81"/>
  <c r="AP44" i="81" s="1"/>
  <c r="H44" i="81"/>
  <c r="P44" i="81"/>
  <c r="O44" i="81"/>
  <c r="S44" i="81"/>
  <c r="R44" i="81"/>
  <c r="V44" i="81"/>
  <c r="U44" i="81"/>
  <c r="Y44" i="81"/>
  <c r="X44" i="81"/>
  <c r="AB44" i="81"/>
  <c r="AA44" i="81"/>
  <c r="AW44" i="81"/>
  <c r="AX44" i="81"/>
  <c r="AY44" i="81"/>
  <c r="BA44" i="81"/>
  <c r="BC44" i="81"/>
  <c r="BD44" i="81"/>
  <c r="BF44" i="81"/>
  <c r="BG44" i="81"/>
  <c r="B45" i="81"/>
  <c r="B52" i="81"/>
  <c r="B51" i="81"/>
  <c r="B50" i="81"/>
  <c r="B49" i="81"/>
  <c r="B48" i="81"/>
  <c r="B47" i="81"/>
  <c r="B46" i="81"/>
  <c r="F45" i="81"/>
  <c r="H45" i="81"/>
  <c r="P45" i="81"/>
  <c r="O45" i="81"/>
  <c r="S45" i="81"/>
  <c r="R45" i="81"/>
  <c r="V45" i="81"/>
  <c r="U45" i="81"/>
  <c r="Y45" i="81"/>
  <c r="X45" i="81"/>
  <c r="AB45" i="81"/>
  <c r="AA45" i="81"/>
  <c r="AW45" i="81"/>
  <c r="AX45" i="81"/>
  <c r="AY45" i="81"/>
  <c r="BA45" i="81"/>
  <c r="BC45" i="81"/>
  <c r="BD45" i="81"/>
  <c r="BF45" i="81"/>
  <c r="BG45" i="81"/>
  <c r="F46" i="81"/>
  <c r="I46" i="81" s="1"/>
  <c r="H46" i="81"/>
  <c r="P46" i="81"/>
  <c r="O46" i="81"/>
  <c r="S46" i="81"/>
  <c r="R46" i="81"/>
  <c r="V46" i="81"/>
  <c r="U46" i="81"/>
  <c r="Y46" i="81"/>
  <c r="X46" i="81"/>
  <c r="AB46" i="81"/>
  <c r="AA46" i="81"/>
  <c r="AW46" i="81"/>
  <c r="AX46" i="81"/>
  <c r="AY46" i="81"/>
  <c r="BA46" i="81"/>
  <c r="BC46" i="81"/>
  <c r="BD46" i="81"/>
  <c r="BF46" i="81"/>
  <c r="BG46" i="81"/>
  <c r="F47" i="81"/>
  <c r="I47" i="81" s="1"/>
  <c r="K47" i="81" s="1"/>
  <c r="H47" i="81"/>
  <c r="P47" i="81"/>
  <c r="O47" i="81"/>
  <c r="S47" i="81"/>
  <c r="R47" i="81"/>
  <c r="V47" i="81"/>
  <c r="U47" i="81"/>
  <c r="Y47" i="81"/>
  <c r="X47" i="81"/>
  <c r="AB47" i="81"/>
  <c r="AA47" i="81"/>
  <c r="AW47" i="81"/>
  <c r="AX47" i="81"/>
  <c r="AY47" i="81"/>
  <c r="BA47" i="81"/>
  <c r="BC47" i="81"/>
  <c r="BD47" i="81"/>
  <c r="BF47" i="81"/>
  <c r="BG47" i="81"/>
  <c r="F48" i="81"/>
  <c r="I48" i="81" s="1"/>
  <c r="K48" i="81" s="1"/>
  <c r="T48" i="81" s="1"/>
  <c r="H48" i="81"/>
  <c r="P48" i="81"/>
  <c r="O48" i="81"/>
  <c r="S48" i="81"/>
  <c r="R48" i="81"/>
  <c r="V48" i="81"/>
  <c r="U48" i="81"/>
  <c r="Y48" i="81"/>
  <c r="X48" i="81"/>
  <c r="AB48" i="81"/>
  <c r="AA48" i="81"/>
  <c r="AW48" i="81"/>
  <c r="AY48" i="81"/>
  <c r="BA48" i="81"/>
  <c r="BC48" i="81"/>
  <c r="BD48" i="81"/>
  <c r="BF48" i="81"/>
  <c r="BG48" i="81"/>
  <c r="F49" i="81"/>
  <c r="H49" i="81"/>
  <c r="I49" i="81"/>
  <c r="P49" i="81"/>
  <c r="O49" i="81"/>
  <c r="S49" i="81"/>
  <c r="R49" i="81"/>
  <c r="V49" i="81"/>
  <c r="U49" i="81"/>
  <c r="Y49" i="81"/>
  <c r="X49" i="81"/>
  <c r="AB49" i="81"/>
  <c r="AA49" i="81"/>
  <c r="AW49" i="81"/>
  <c r="AY49" i="81"/>
  <c r="BA49" i="81"/>
  <c r="BC49" i="81"/>
  <c r="BD49" i="81"/>
  <c r="BF49" i="81"/>
  <c r="BG49" i="81"/>
  <c r="F50" i="81"/>
  <c r="I50" i="81" s="1"/>
  <c r="K50" i="81" s="1"/>
  <c r="Z50" i="81" s="1"/>
  <c r="H50" i="81"/>
  <c r="P50" i="81"/>
  <c r="O50" i="81"/>
  <c r="S50" i="81"/>
  <c r="R50" i="81"/>
  <c r="V50" i="81"/>
  <c r="U50" i="81"/>
  <c r="Y50" i="81"/>
  <c r="X50" i="81"/>
  <c r="AB50" i="81"/>
  <c r="AA50" i="81"/>
  <c r="AW50" i="81"/>
  <c r="AY50" i="81"/>
  <c r="BA50" i="81"/>
  <c r="BC50" i="81"/>
  <c r="BD50" i="81"/>
  <c r="BF50" i="81"/>
  <c r="BG50" i="81"/>
  <c r="F51" i="81"/>
  <c r="I51" i="81" s="1"/>
  <c r="K51" i="81" s="1"/>
  <c r="AC51" i="81" s="1"/>
  <c r="H51" i="81"/>
  <c r="P51" i="81"/>
  <c r="O51" i="81"/>
  <c r="S51" i="81"/>
  <c r="R51" i="81"/>
  <c r="V51" i="81"/>
  <c r="U51" i="81"/>
  <c r="Y51" i="81"/>
  <c r="X51" i="81"/>
  <c r="AB51" i="81"/>
  <c r="AA51" i="81"/>
  <c r="AW51" i="81"/>
  <c r="AY51" i="81"/>
  <c r="BA51" i="81"/>
  <c r="BC51" i="81"/>
  <c r="BD51" i="81"/>
  <c r="BF51" i="81"/>
  <c r="BG51" i="81"/>
  <c r="F52" i="81"/>
  <c r="I52" i="81" s="1"/>
  <c r="H52" i="81"/>
  <c r="P52" i="81"/>
  <c r="O52" i="81"/>
  <c r="S52" i="81"/>
  <c r="R52" i="81"/>
  <c r="V52" i="81"/>
  <c r="U52" i="81"/>
  <c r="Y52" i="81"/>
  <c r="X52" i="81"/>
  <c r="AB52" i="81"/>
  <c r="AA52" i="81"/>
  <c r="AW52" i="81"/>
  <c r="AY52" i="81"/>
  <c r="BA52" i="81"/>
  <c r="BC52" i="81"/>
  <c r="BD52" i="81"/>
  <c r="BF52" i="81"/>
  <c r="BG52" i="81"/>
  <c r="L54" i="81"/>
  <c r="AY53" i="81"/>
  <c r="AZ54" i="81"/>
  <c r="M54" i="81"/>
  <c r="BB54" i="81"/>
  <c r="BE54" i="81"/>
  <c r="J56" i="81"/>
  <c r="J57" i="81"/>
  <c r="AX60" i="81"/>
  <c r="K63" i="81"/>
  <c r="L63" i="81"/>
  <c r="M63" i="81"/>
  <c r="N63" i="81"/>
  <c r="O63" i="81"/>
  <c r="K64" i="81"/>
  <c r="L64" i="81"/>
  <c r="M64" i="81"/>
  <c r="N64" i="81"/>
  <c r="O64" i="81"/>
  <c r="B2" i="82"/>
  <c r="A3" i="82"/>
  <c r="B3" i="82"/>
  <c r="A4" i="82"/>
  <c r="B4" i="82"/>
  <c r="A5" i="82"/>
  <c r="B5" i="82"/>
  <c r="A6" i="82"/>
  <c r="B6" i="82"/>
  <c r="A7" i="82"/>
  <c r="B7" i="82"/>
  <c r="A8" i="82"/>
  <c r="B8" i="82"/>
  <c r="A9" i="82"/>
  <c r="B9" i="82"/>
  <c r="A10" i="82"/>
  <c r="B10" i="82"/>
  <c r="A11" i="82"/>
  <c r="B11" i="82"/>
  <c r="A12" i="82"/>
  <c r="B12" i="82"/>
  <c r="U12" i="82"/>
  <c r="A13" i="82"/>
  <c r="B13" i="82"/>
  <c r="A14" i="82"/>
  <c r="B14" i="82"/>
  <c r="A15" i="82"/>
  <c r="B15" i="82"/>
  <c r="A16" i="82"/>
  <c r="B16" i="82"/>
  <c r="V16" i="82"/>
  <c r="A17" i="82"/>
  <c r="B17" i="82"/>
  <c r="A18" i="82"/>
  <c r="B18" i="82"/>
  <c r="A19" i="82"/>
  <c r="B19" i="82"/>
  <c r="A20" i="82"/>
  <c r="B20" i="82"/>
  <c r="A21" i="82"/>
  <c r="B21" i="82"/>
  <c r="A22" i="82"/>
  <c r="B22" i="82"/>
  <c r="A23" i="82"/>
  <c r="B23" i="82"/>
  <c r="A24" i="82"/>
  <c r="B24" i="82"/>
  <c r="A25" i="82"/>
  <c r="B25" i="82"/>
  <c r="A26" i="82"/>
  <c r="B26" i="82"/>
  <c r="A27" i="82"/>
  <c r="B27" i="82"/>
  <c r="A28" i="82"/>
  <c r="B28" i="82"/>
  <c r="A29" i="82"/>
  <c r="B29" i="82"/>
  <c r="A30" i="82"/>
  <c r="B30" i="82"/>
  <c r="A31" i="82"/>
  <c r="B31" i="82"/>
  <c r="A32" i="82"/>
  <c r="B32" i="82"/>
  <c r="A33" i="82"/>
  <c r="B33" i="82"/>
  <c r="A34" i="82"/>
  <c r="B34" i="82"/>
  <c r="A35" i="82"/>
  <c r="B35" i="82"/>
  <c r="A36" i="82"/>
  <c r="B36" i="82"/>
  <c r="A37" i="82"/>
  <c r="B37" i="82"/>
  <c r="A38" i="82"/>
  <c r="B38" i="82"/>
  <c r="C6" i="77"/>
  <c r="J6" i="77"/>
  <c r="C7" i="77"/>
  <c r="C8" i="77"/>
  <c r="J8" i="77"/>
  <c r="K8" i="77"/>
  <c r="C9" i="77"/>
  <c r="C10" i="77"/>
  <c r="J10" i="77"/>
  <c r="K10" i="77"/>
  <c r="M10" i="77"/>
  <c r="N10" i="77"/>
  <c r="C11" i="77"/>
  <c r="J11" i="77"/>
  <c r="K11" i="77"/>
  <c r="M11" i="77"/>
  <c r="N11" i="77"/>
  <c r="D22" i="78"/>
  <c r="C12" i="77"/>
  <c r="J12" i="77"/>
  <c r="K12" i="77"/>
  <c r="M12" i="77"/>
  <c r="N12" i="77"/>
  <c r="D23" i="78"/>
  <c r="G23" i="78"/>
  <c r="C13" i="77"/>
  <c r="J13" i="77"/>
  <c r="K13" i="77"/>
  <c r="M13" i="77"/>
  <c r="N13" i="77"/>
  <c r="D24" i="78"/>
  <c r="G24" i="78"/>
  <c r="C14" i="77"/>
  <c r="J14" i="77"/>
  <c r="K14" i="77"/>
  <c r="M14" i="77"/>
  <c r="N14" i="77"/>
  <c r="D25" i="78"/>
  <c r="G25" i="78"/>
  <c r="C15" i="77"/>
  <c r="J15" i="77"/>
  <c r="K15" i="77"/>
  <c r="M15" i="77"/>
  <c r="N15" i="77"/>
  <c r="D26" i="78"/>
  <c r="G26" i="78"/>
  <c r="C16" i="77"/>
  <c r="J16" i="77"/>
  <c r="K16" i="77"/>
  <c r="M16" i="77"/>
  <c r="N16" i="77"/>
  <c r="D27" i="78"/>
  <c r="G27" i="78"/>
  <c r="C17" i="77"/>
  <c r="J17" i="77"/>
  <c r="K17" i="77"/>
  <c r="M17" i="77"/>
  <c r="N17" i="77"/>
  <c r="D28" i="78"/>
  <c r="G28" i="78"/>
  <c r="C18" i="77"/>
  <c r="J18" i="77"/>
  <c r="K18" i="77"/>
  <c r="M18" i="77"/>
  <c r="N18" i="77"/>
  <c r="D29" i="78"/>
  <c r="G29" i="78"/>
  <c r="C19" i="77"/>
  <c r="J19" i="77"/>
  <c r="K19" i="77"/>
  <c r="M19" i="77"/>
  <c r="N19" i="77"/>
  <c r="D30" i="78"/>
  <c r="G30" i="78"/>
  <c r="C20" i="77"/>
  <c r="J20" i="77"/>
  <c r="K20" i="77"/>
  <c r="M20" i="77"/>
  <c r="N20" i="77"/>
  <c r="D31" i="78"/>
  <c r="G31" i="78"/>
  <c r="C21" i="77"/>
  <c r="J21" i="77"/>
  <c r="K21" i="77"/>
  <c r="M21" i="77"/>
  <c r="N21" i="77"/>
  <c r="D32" i="78"/>
  <c r="G32" i="78"/>
  <c r="C22" i="77"/>
  <c r="J22" i="77"/>
  <c r="K22" i="77"/>
  <c r="M22" i="77"/>
  <c r="N22" i="77"/>
  <c r="D33" i="78"/>
  <c r="G33" i="78"/>
  <c r="C23" i="77"/>
  <c r="J23" i="77"/>
  <c r="K23" i="77"/>
  <c r="M23" i="77"/>
  <c r="N23" i="77"/>
  <c r="D34" i="78"/>
  <c r="C24" i="77"/>
  <c r="J24" i="77"/>
  <c r="K24" i="77"/>
  <c r="M24" i="77"/>
  <c r="N24" i="77"/>
  <c r="D35" i="78"/>
  <c r="G35" i="78"/>
  <c r="C25" i="77"/>
  <c r="J25" i="77"/>
  <c r="K25" i="77"/>
  <c r="M25" i="77"/>
  <c r="N25" i="77"/>
  <c r="D36" i="78"/>
  <c r="G36" i="78"/>
  <c r="C26" i="77"/>
  <c r="J26" i="77"/>
  <c r="K26" i="77"/>
  <c r="M26" i="77"/>
  <c r="N26" i="77"/>
  <c r="D37" i="78"/>
  <c r="G37" i="78"/>
  <c r="C27" i="77"/>
  <c r="J27" i="77"/>
  <c r="K27" i="77"/>
  <c r="M27" i="77"/>
  <c r="N27" i="77"/>
  <c r="D38" i="78"/>
  <c r="G38" i="78"/>
  <c r="C28" i="77"/>
  <c r="J28" i="77"/>
  <c r="K28" i="77"/>
  <c r="M28" i="77"/>
  <c r="N28" i="77"/>
  <c r="D39" i="78"/>
  <c r="G39" i="78"/>
  <c r="C29" i="77"/>
  <c r="J29" i="77"/>
  <c r="K29" i="77"/>
  <c r="M29" i="77"/>
  <c r="N29" i="77"/>
  <c r="D40" i="78"/>
  <c r="G40" i="78"/>
  <c r="C30" i="77"/>
  <c r="J30" i="77"/>
  <c r="K30" i="77"/>
  <c r="M30" i="77"/>
  <c r="N30" i="77"/>
  <c r="D41" i="78"/>
  <c r="C31" i="77"/>
  <c r="J31" i="77"/>
  <c r="K31" i="77"/>
  <c r="M31" i="77"/>
  <c r="N31" i="77"/>
  <c r="D42" i="78"/>
  <c r="G42" i="78"/>
  <c r="C32" i="77"/>
  <c r="J32" i="77"/>
  <c r="K32" i="77"/>
  <c r="M32" i="77"/>
  <c r="N32" i="77"/>
  <c r="D43" i="78"/>
  <c r="C33" i="77"/>
  <c r="J33" i="77"/>
  <c r="K33" i="77"/>
  <c r="M33" i="77"/>
  <c r="N33" i="77"/>
  <c r="D44" i="78"/>
  <c r="G44" i="78"/>
  <c r="C34" i="77"/>
  <c r="J34" i="77"/>
  <c r="K34" i="77"/>
  <c r="M34" i="77"/>
  <c r="N34" i="77"/>
  <c r="D45" i="78"/>
  <c r="G45" i="78"/>
  <c r="C35" i="77"/>
  <c r="J35" i="77"/>
  <c r="K35" i="77"/>
  <c r="M35" i="77"/>
  <c r="N35" i="77"/>
  <c r="D46" i="78"/>
  <c r="G46" i="78"/>
  <c r="C36" i="77"/>
  <c r="J36" i="77"/>
  <c r="K36" i="77"/>
  <c r="M36" i="77"/>
  <c r="N36" i="77"/>
  <c r="D47" i="78"/>
  <c r="C37" i="77"/>
  <c r="J37" i="77"/>
  <c r="K37" i="77"/>
  <c r="M37" i="77"/>
  <c r="N37" i="77"/>
  <c r="D48" i="78"/>
  <c r="G48" i="78"/>
  <c r="C38" i="77"/>
  <c r="J38" i="77"/>
  <c r="K38" i="77"/>
  <c r="M38" i="77"/>
  <c r="N38" i="77"/>
  <c r="D49" i="78"/>
  <c r="G49" i="78"/>
  <c r="C39" i="77"/>
  <c r="J39" i="77"/>
  <c r="K39" i="77"/>
  <c r="C40" i="77"/>
  <c r="J40" i="77"/>
  <c r="K40" i="77"/>
  <c r="M40" i="77"/>
  <c r="N40" i="77"/>
  <c r="D51" i="78"/>
  <c r="G51" i="78"/>
  <c r="C41" i="77"/>
  <c r="J41" i="77"/>
  <c r="K41" i="77"/>
  <c r="M41" i="77"/>
  <c r="N41" i="77"/>
  <c r="D52" i="78"/>
  <c r="G52" i="78"/>
  <c r="D42" i="77"/>
  <c r="D43" i="77"/>
  <c r="E42" i="77"/>
  <c r="F42" i="77"/>
  <c r="F43" i="77"/>
  <c r="G42" i="77"/>
  <c r="G43" i="77"/>
  <c r="H42" i="77"/>
  <c r="H43" i="77"/>
  <c r="I42" i="77"/>
  <c r="I43" i="77"/>
  <c r="E43" i="77"/>
  <c r="L43" i="77"/>
  <c r="E7" i="78"/>
  <c r="B17" i="78"/>
  <c r="P17" i="78"/>
  <c r="O17" i="78"/>
  <c r="S17" i="78"/>
  <c r="U8" i="79"/>
  <c r="V17" i="78"/>
  <c r="U17" i="78"/>
  <c r="T10" i="79"/>
  <c r="Y17" i="78"/>
  <c r="X17" i="78"/>
  <c r="AB17" i="78"/>
  <c r="AW17" i="78"/>
  <c r="AY17" i="78"/>
  <c r="BA17" i="78"/>
  <c r="BC17" i="78"/>
  <c r="BD17" i="78"/>
  <c r="BF17" i="78"/>
  <c r="BG17" i="78"/>
  <c r="B18" i="78"/>
  <c r="P18" i="78"/>
  <c r="S18" i="78"/>
  <c r="R18" i="78"/>
  <c r="V18" i="78"/>
  <c r="U18" i="78"/>
  <c r="Y18" i="78"/>
  <c r="AB18" i="78"/>
  <c r="AA18" i="78"/>
  <c r="AW18" i="78"/>
  <c r="AY18" i="78"/>
  <c r="BA18" i="78"/>
  <c r="BC18" i="78"/>
  <c r="BD18" i="78"/>
  <c r="BF18" i="78"/>
  <c r="BG18" i="78"/>
  <c r="B19" i="78"/>
  <c r="F19" i="78"/>
  <c r="H19" i="78"/>
  <c r="P19" i="78"/>
  <c r="O19" i="78"/>
  <c r="S19" i="78"/>
  <c r="R19" i="78"/>
  <c r="V19" i="78"/>
  <c r="U19" i="78"/>
  <c r="Y19" i="78"/>
  <c r="X19" i="78"/>
  <c r="AB19" i="78"/>
  <c r="AA19" i="78"/>
  <c r="AW19" i="78"/>
  <c r="AW54" i="78"/>
  <c r="AY19" i="78"/>
  <c r="BA19" i="78"/>
  <c r="BC19" i="78"/>
  <c r="BD19" i="78"/>
  <c r="BF19" i="78"/>
  <c r="BG19" i="78"/>
  <c r="B20" i="78"/>
  <c r="D20" i="78"/>
  <c r="G20" i="78"/>
  <c r="P20" i="78"/>
  <c r="O20" i="78"/>
  <c r="S20" i="78"/>
  <c r="R20" i="78"/>
  <c r="V20" i="78"/>
  <c r="U20" i="78"/>
  <c r="Y20" i="78"/>
  <c r="X20" i="78"/>
  <c r="AB20" i="78"/>
  <c r="AA20" i="78"/>
  <c r="AW20" i="78"/>
  <c r="AY20" i="78"/>
  <c r="BA20" i="78"/>
  <c r="BC20" i="78"/>
  <c r="BD20" i="78"/>
  <c r="BF20" i="78"/>
  <c r="BG20" i="78"/>
  <c r="B21" i="78"/>
  <c r="D21" i="78"/>
  <c r="G21" i="78"/>
  <c r="F21" i="78"/>
  <c r="H21" i="78"/>
  <c r="P21" i="78"/>
  <c r="O21" i="78"/>
  <c r="S21" i="78"/>
  <c r="R21" i="78"/>
  <c r="V21" i="78"/>
  <c r="U21" i="78"/>
  <c r="Y21" i="78"/>
  <c r="X21" i="78"/>
  <c r="AB21" i="78"/>
  <c r="AA21" i="78"/>
  <c r="AW21" i="78"/>
  <c r="AY21" i="78"/>
  <c r="BA21" i="78"/>
  <c r="BC21" i="78"/>
  <c r="BD21" i="78"/>
  <c r="BD53" i="78"/>
  <c r="BB53" i="78"/>
  <c r="BF21" i="78"/>
  <c r="BG21" i="78"/>
  <c r="B22" i="78"/>
  <c r="G22" i="78"/>
  <c r="F22" i="78"/>
  <c r="H22" i="78"/>
  <c r="P22" i="78"/>
  <c r="O22" i="78"/>
  <c r="S22" i="78"/>
  <c r="R22" i="78"/>
  <c r="V22" i="78"/>
  <c r="U22" i="78"/>
  <c r="Y22" i="78"/>
  <c r="X22" i="78"/>
  <c r="AB22" i="78"/>
  <c r="AA22" i="78"/>
  <c r="AW22" i="78"/>
  <c r="AY22" i="78"/>
  <c r="BA22" i="78"/>
  <c r="BC22" i="78"/>
  <c r="BD22" i="78"/>
  <c r="BF22" i="78"/>
  <c r="BG22" i="78"/>
  <c r="B23" i="78"/>
  <c r="F23" i="78"/>
  <c r="H23" i="78"/>
  <c r="P23" i="78"/>
  <c r="O23" i="78"/>
  <c r="S23" i="78"/>
  <c r="R23" i="78"/>
  <c r="V23" i="78"/>
  <c r="U23" i="78"/>
  <c r="Y23" i="78"/>
  <c r="X23" i="78"/>
  <c r="AB23" i="78"/>
  <c r="AA23" i="78"/>
  <c r="AW23" i="78"/>
  <c r="AY23" i="78"/>
  <c r="BA23" i="78"/>
  <c r="BC23" i="78"/>
  <c r="BD23" i="78"/>
  <c r="BF23" i="78"/>
  <c r="BG23" i="78"/>
  <c r="B24" i="78"/>
  <c r="F24" i="78"/>
  <c r="I24" i="78"/>
  <c r="H24" i="78"/>
  <c r="P24" i="78"/>
  <c r="O24" i="78"/>
  <c r="S24" i="78"/>
  <c r="R24" i="78"/>
  <c r="V24" i="78"/>
  <c r="U24" i="78"/>
  <c r="Y24" i="78"/>
  <c r="X24" i="78"/>
  <c r="AB24" i="78"/>
  <c r="AA24" i="78"/>
  <c r="AW24" i="78"/>
  <c r="AY24" i="78"/>
  <c r="BA24" i="78"/>
  <c r="BC24" i="78"/>
  <c r="BD24" i="78"/>
  <c r="BF24" i="78"/>
  <c r="BG24" i="78"/>
  <c r="B25" i="78"/>
  <c r="F25" i="78"/>
  <c r="I25" i="78"/>
  <c r="H25" i="78"/>
  <c r="P25" i="78"/>
  <c r="O25" i="78"/>
  <c r="S25" i="78"/>
  <c r="R25" i="78"/>
  <c r="V25" i="78"/>
  <c r="U25" i="78"/>
  <c r="Y25" i="78"/>
  <c r="X25" i="78"/>
  <c r="AB25" i="78"/>
  <c r="AA25" i="78"/>
  <c r="AW25" i="78"/>
  <c r="AY25" i="78"/>
  <c r="BA25" i="78"/>
  <c r="BC25" i="78"/>
  <c r="BD25" i="78"/>
  <c r="BF25" i="78"/>
  <c r="BG25" i="78"/>
  <c r="B26" i="78"/>
  <c r="F26" i="78"/>
  <c r="H26" i="78"/>
  <c r="I26" i="78"/>
  <c r="P26" i="78"/>
  <c r="O26" i="78"/>
  <c r="AD55" i="78"/>
  <c r="AD56" i="78"/>
  <c r="S26" i="78"/>
  <c r="R26" i="78"/>
  <c r="V26" i="78"/>
  <c r="U26" i="78"/>
  <c r="Y26" i="78"/>
  <c r="X26" i="78"/>
  <c r="AB26" i="78"/>
  <c r="AA26" i="78"/>
  <c r="AW26" i="78"/>
  <c r="AY26" i="78"/>
  <c r="BA26" i="78"/>
  <c r="BC26" i="78"/>
  <c r="BD26" i="78"/>
  <c r="BF26" i="78"/>
  <c r="BG26" i="78"/>
  <c r="B27" i="78"/>
  <c r="F27" i="78"/>
  <c r="H27" i="78"/>
  <c r="P27" i="78"/>
  <c r="O27" i="78"/>
  <c r="S27" i="78"/>
  <c r="R27" i="78"/>
  <c r="V27" i="78"/>
  <c r="U27" i="78"/>
  <c r="Y27" i="78"/>
  <c r="X27" i="78"/>
  <c r="AB27" i="78"/>
  <c r="AA27" i="78"/>
  <c r="AW27" i="78"/>
  <c r="AY27" i="78"/>
  <c r="BA27" i="78"/>
  <c r="BC27" i="78"/>
  <c r="BD27" i="78"/>
  <c r="BF27" i="78"/>
  <c r="BG27" i="78"/>
  <c r="B28" i="78"/>
  <c r="F28" i="78"/>
  <c r="I28" i="78"/>
  <c r="H28" i="78"/>
  <c r="P28" i="78"/>
  <c r="O28" i="78"/>
  <c r="S28" i="78"/>
  <c r="R28" i="78"/>
  <c r="V28" i="78"/>
  <c r="U28" i="78"/>
  <c r="Y28" i="78"/>
  <c r="X28" i="78"/>
  <c r="AB28" i="78"/>
  <c r="AA28" i="78"/>
  <c r="AW28" i="78"/>
  <c r="AY28" i="78"/>
  <c r="BA28" i="78"/>
  <c r="BC28" i="78"/>
  <c r="BD28" i="78"/>
  <c r="BF28" i="78"/>
  <c r="BG28" i="78"/>
  <c r="B29" i="78"/>
  <c r="F29" i="78"/>
  <c r="I29" i="78"/>
  <c r="H29" i="78"/>
  <c r="P29" i="78"/>
  <c r="O29" i="78"/>
  <c r="S29" i="78"/>
  <c r="R29" i="78"/>
  <c r="V29" i="78"/>
  <c r="U29" i="78"/>
  <c r="Y29" i="78"/>
  <c r="X29" i="78"/>
  <c r="AB29" i="78"/>
  <c r="AA29" i="78"/>
  <c r="AW29" i="78"/>
  <c r="AY29" i="78"/>
  <c r="BA29" i="78"/>
  <c r="BC29" i="78"/>
  <c r="BD29" i="78"/>
  <c r="BF29" i="78"/>
  <c r="BG29" i="78"/>
  <c r="B30" i="78"/>
  <c r="F30" i="78"/>
  <c r="I30" i="78"/>
  <c r="H30" i="78"/>
  <c r="P30" i="78"/>
  <c r="O30" i="78"/>
  <c r="S30" i="78"/>
  <c r="R30" i="78"/>
  <c r="V30" i="78"/>
  <c r="U30" i="78"/>
  <c r="Y30" i="78"/>
  <c r="X30" i="78"/>
  <c r="AB30" i="78"/>
  <c r="AA30" i="78"/>
  <c r="AW30" i="78"/>
  <c r="AY30" i="78"/>
  <c r="BA30" i="78"/>
  <c r="BC30" i="78"/>
  <c r="BD30" i="78"/>
  <c r="BF30" i="78"/>
  <c r="BG30" i="78"/>
  <c r="B31" i="78"/>
  <c r="F31" i="78"/>
  <c r="H31" i="78"/>
  <c r="P31" i="78"/>
  <c r="O31" i="78"/>
  <c r="S31" i="78"/>
  <c r="R31" i="78"/>
  <c r="V31" i="78"/>
  <c r="U31" i="78"/>
  <c r="Y31" i="78"/>
  <c r="X31" i="78"/>
  <c r="AB31" i="78"/>
  <c r="AA31" i="78"/>
  <c r="AW31" i="78"/>
  <c r="AY31" i="78"/>
  <c r="BA31" i="78"/>
  <c r="BC31" i="78"/>
  <c r="BD31" i="78"/>
  <c r="BF31" i="78"/>
  <c r="BG31" i="78"/>
  <c r="B32" i="78"/>
  <c r="F32" i="78"/>
  <c r="I32" i="78"/>
  <c r="H32" i="78"/>
  <c r="P32" i="78"/>
  <c r="O32" i="78"/>
  <c r="S32" i="78"/>
  <c r="R32" i="78"/>
  <c r="V32" i="78"/>
  <c r="U32" i="78"/>
  <c r="Y32" i="78"/>
  <c r="X32" i="78"/>
  <c r="AB32" i="78"/>
  <c r="AA32" i="78"/>
  <c r="AW32" i="78"/>
  <c r="AY32" i="78"/>
  <c r="BA32" i="78"/>
  <c r="BC32" i="78"/>
  <c r="BD32" i="78"/>
  <c r="BF32" i="78"/>
  <c r="BG32" i="78"/>
  <c r="B33" i="78"/>
  <c r="F33" i="78"/>
  <c r="I33" i="78"/>
  <c r="H33" i="78"/>
  <c r="P33" i="78"/>
  <c r="O33" i="78"/>
  <c r="S33" i="78"/>
  <c r="R33" i="78"/>
  <c r="V33" i="78"/>
  <c r="U33" i="78"/>
  <c r="Y33" i="78"/>
  <c r="X33" i="78"/>
  <c r="AB33" i="78"/>
  <c r="AA33" i="78"/>
  <c r="AW33" i="78"/>
  <c r="AY33" i="78"/>
  <c r="BA33" i="78"/>
  <c r="BC33" i="78"/>
  <c r="BD33" i="78"/>
  <c r="BF33" i="78"/>
  <c r="BG33" i="78"/>
  <c r="B34" i="78"/>
  <c r="F34" i="78"/>
  <c r="I34" i="78"/>
  <c r="G34" i="78"/>
  <c r="H34" i="78"/>
  <c r="P34" i="78"/>
  <c r="O34" i="78"/>
  <c r="S34" i="78"/>
  <c r="R34" i="78"/>
  <c r="V34" i="78"/>
  <c r="U34" i="78"/>
  <c r="Y34" i="78"/>
  <c r="X34" i="78"/>
  <c r="AB34" i="78"/>
  <c r="AA34" i="78"/>
  <c r="AW34" i="78"/>
  <c r="AY34" i="78"/>
  <c r="BA34" i="78"/>
  <c r="BC34" i="78"/>
  <c r="BD34" i="78"/>
  <c r="BF34" i="78"/>
  <c r="BG34" i="78"/>
  <c r="B35" i="78"/>
  <c r="F35" i="78"/>
  <c r="I35" i="78"/>
  <c r="K35" i="78"/>
  <c r="H35" i="78"/>
  <c r="P35" i="78"/>
  <c r="O35" i="78"/>
  <c r="S35" i="78"/>
  <c r="R35" i="78"/>
  <c r="V35" i="78"/>
  <c r="U35" i="78"/>
  <c r="Y35" i="78"/>
  <c r="X35" i="78"/>
  <c r="AB35" i="78"/>
  <c r="AA35" i="78"/>
  <c r="AW35" i="78"/>
  <c r="AY35" i="78"/>
  <c r="BA35" i="78"/>
  <c r="BC35" i="78"/>
  <c r="BD35" i="78"/>
  <c r="BF35" i="78"/>
  <c r="BG35" i="78"/>
  <c r="B36" i="78"/>
  <c r="F36" i="78"/>
  <c r="I36" i="78"/>
  <c r="J36" i="78"/>
  <c r="AQ36" i="78"/>
  <c r="H36" i="78"/>
  <c r="K36" i="78"/>
  <c r="P36" i="78"/>
  <c r="O36" i="78"/>
  <c r="S36" i="78"/>
  <c r="R36" i="78"/>
  <c r="V36" i="78"/>
  <c r="U36" i="78"/>
  <c r="Y36" i="78"/>
  <c r="X36" i="78"/>
  <c r="AB36" i="78"/>
  <c r="AA36" i="78"/>
  <c r="AW36" i="78"/>
  <c r="AY36" i="78"/>
  <c r="BA36" i="78"/>
  <c r="BC36" i="78"/>
  <c r="BD36" i="78"/>
  <c r="BF36" i="78"/>
  <c r="BG36" i="78"/>
  <c r="B37" i="78"/>
  <c r="F37" i="78"/>
  <c r="I37" i="78"/>
  <c r="H37" i="78"/>
  <c r="P37" i="78"/>
  <c r="O37" i="78"/>
  <c r="S37" i="78"/>
  <c r="R37" i="78"/>
  <c r="V37" i="78"/>
  <c r="U37" i="78"/>
  <c r="Y37" i="78"/>
  <c r="X37" i="78"/>
  <c r="AB37" i="78"/>
  <c r="AA37" i="78"/>
  <c r="AW37" i="78"/>
  <c r="AY37" i="78"/>
  <c r="BA37" i="78"/>
  <c r="BC37" i="78"/>
  <c r="BD37" i="78"/>
  <c r="BF37" i="78"/>
  <c r="BG37" i="78"/>
  <c r="B38" i="78"/>
  <c r="F38" i="78"/>
  <c r="H38" i="78"/>
  <c r="P38" i="78"/>
  <c r="O38" i="78"/>
  <c r="S38" i="78"/>
  <c r="R38" i="78"/>
  <c r="V38" i="78"/>
  <c r="U38" i="78"/>
  <c r="Y38" i="78"/>
  <c r="X38" i="78"/>
  <c r="AB38" i="78"/>
  <c r="AA38" i="78"/>
  <c r="AW38" i="78"/>
  <c r="AY38" i="78"/>
  <c r="BA38" i="78"/>
  <c r="BC38" i="78"/>
  <c r="BD38" i="78"/>
  <c r="BF38" i="78"/>
  <c r="BG38" i="78"/>
  <c r="B39" i="78"/>
  <c r="F39" i="78"/>
  <c r="H39" i="78"/>
  <c r="I39" i="78"/>
  <c r="P39" i="78"/>
  <c r="O39" i="78"/>
  <c r="S39" i="78"/>
  <c r="R39" i="78"/>
  <c r="V39" i="78"/>
  <c r="U39" i="78"/>
  <c r="Y39" i="78"/>
  <c r="X39" i="78"/>
  <c r="AB39" i="78"/>
  <c r="AA39" i="78"/>
  <c r="AW39" i="78"/>
  <c r="AY39" i="78"/>
  <c r="BA39" i="78"/>
  <c r="BC39" i="78"/>
  <c r="BD39" i="78"/>
  <c r="BF39" i="78"/>
  <c r="BG39" i="78"/>
  <c r="B40" i="78"/>
  <c r="F40" i="78"/>
  <c r="I40" i="78"/>
  <c r="H40" i="78"/>
  <c r="P40" i="78"/>
  <c r="O40" i="78"/>
  <c r="S40" i="78"/>
  <c r="R40" i="78"/>
  <c r="V40" i="78"/>
  <c r="U40" i="78"/>
  <c r="Y40" i="78"/>
  <c r="X40" i="78"/>
  <c r="AB40" i="78"/>
  <c r="AA40" i="78"/>
  <c r="AW40" i="78"/>
  <c r="AY40" i="78"/>
  <c r="BA40" i="78"/>
  <c r="BC40" i="78"/>
  <c r="BD40" i="78"/>
  <c r="BF40" i="78"/>
  <c r="BG40" i="78"/>
  <c r="B41" i="78"/>
  <c r="G41" i="78"/>
  <c r="F41" i="78"/>
  <c r="H41" i="78"/>
  <c r="I41" i="78"/>
  <c r="P41" i="78"/>
  <c r="O41" i="78"/>
  <c r="S41" i="78"/>
  <c r="R41" i="78"/>
  <c r="V41" i="78"/>
  <c r="U41" i="78"/>
  <c r="Y41" i="78"/>
  <c r="X41" i="78"/>
  <c r="AB41" i="78"/>
  <c r="AA41" i="78"/>
  <c r="AW41" i="78"/>
  <c r="AY41" i="78"/>
  <c r="BA41" i="78"/>
  <c r="BC41" i="78"/>
  <c r="BD41" i="78"/>
  <c r="BF41" i="78"/>
  <c r="BG41" i="78"/>
  <c r="B42" i="78"/>
  <c r="F42" i="78"/>
  <c r="H42" i="78"/>
  <c r="P42" i="78"/>
  <c r="O42" i="78"/>
  <c r="S42" i="78"/>
  <c r="R42" i="78"/>
  <c r="V42" i="78"/>
  <c r="U42" i="78"/>
  <c r="Y42" i="78"/>
  <c r="X42" i="78"/>
  <c r="AB42" i="78"/>
  <c r="AA42" i="78"/>
  <c r="AW42" i="78"/>
  <c r="AX42" i="78"/>
  <c r="AY42" i="78"/>
  <c r="BA42" i="78"/>
  <c r="BC42" i="78"/>
  <c r="BD42" i="78"/>
  <c r="BF42" i="78"/>
  <c r="BG42" i="78"/>
  <c r="B43" i="78"/>
  <c r="G43" i="78"/>
  <c r="F43" i="78"/>
  <c r="I43" i="78"/>
  <c r="H43" i="78"/>
  <c r="P43" i="78"/>
  <c r="O43" i="78"/>
  <c r="S43" i="78"/>
  <c r="R43" i="78"/>
  <c r="V43" i="78"/>
  <c r="U43" i="78"/>
  <c r="Y43" i="78"/>
  <c r="X43" i="78"/>
  <c r="AB43" i="78"/>
  <c r="AA43" i="78"/>
  <c r="AW43" i="78"/>
  <c r="AX43" i="78"/>
  <c r="AY43" i="78"/>
  <c r="BA43" i="78"/>
  <c r="BC43" i="78"/>
  <c r="BD43" i="78"/>
  <c r="BF43" i="78"/>
  <c r="BG43" i="78"/>
  <c r="B44" i="78"/>
  <c r="F44" i="78"/>
  <c r="I44" i="78"/>
  <c r="H44" i="78"/>
  <c r="P44" i="78"/>
  <c r="O44" i="78"/>
  <c r="S44" i="78"/>
  <c r="R44" i="78"/>
  <c r="V44" i="78"/>
  <c r="U44" i="78"/>
  <c r="Y44" i="78"/>
  <c r="X44" i="78"/>
  <c r="AB44" i="78"/>
  <c r="AA44" i="78"/>
  <c r="AW44" i="78"/>
  <c r="AY44" i="78"/>
  <c r="BA44" i="78"/>
  <c r="BC44" i="78"/>
  <c r="BD44" i="78"/>
  <c r="BF44" i="78"/>
  <c r="BG44" i="78"/>
  <c r="B45" i="78"/>
  <c r="F45" i="78"/>
  <c r="H45" i="78"/>
  <c r="P45" i="78"/>
  <c r="O45" i="78"/>
  <c r="S45" i="78"/>
  <c r="R45" i="78"/>
  <c r="V45" i="78"/>
  <c r="U45" i="78"/>
  <c r="Y45" i="78"/>
  <c r="X45" i="78"/>
  <c r="AB45" i="78"/>
  <c r="AA45" i="78"/>
  <c r="AW45" i="78"/>
  <c r="AY45" i="78"/>
  <c r="BA45" i="78"/>
  <c r="BC45" i="78"/>
  <c r="BD45" i="78"/>
  <c r="BF45" i="78"/>
  <c r="BG45" i="78"/>
  <c r="B46" i="78"/>
  <c r="F46" i="78"/>
  <c r="I46" i="78"/>
  <c r="H46" i="78"/>
  <c r="P46" i="78"/>
  <c r="O46" i="78"/>
  <c r="S46" i="78"/>
  <c r="R46" i="78"/>
  <c r="V46" i="78"/>
  <c r="U46" i="78"/>
  <c r="Y46" i="78"/>
  <c r="X46" i="78"/>
  <c r="AB46" i="78"/>
  <c r="AA46" i="78"/>
  <c r="AW46" i="78"/>
  <c r="AX46" i="78"/>
  <c r="AY46" i="78"/>
  <c r="BA46" i="78"/>
  <c r="BC46" i="78"/>
  <c r="BD46" i="78"/>
  <c r="BF46" i="78"/>
  <c r="BG46" i="78"/>
  <c r="B47" i="78"/>
  <c r="G47" i="78"/>
  <c r="F47" i="78"/>
  <c r="I47" i="78"/>
  <c r="H47" i="78"/>
  <c r="P47" i="78"/>
  <c r="O47" i="78"/>
  <c r="S47" i="78"/>
  <c r="R47" i="78"/>
  <c r="V47" i="78"/>
  <c r="U47" i="78"/>
  <c r="Y47" i="78"/>
  <c r="X47" i="78"/>
  <c r="AB47" i="78"/>
  <c r="AA47" i="78"/>
  <c r="AW47" i="78"/>
  <c r="AX47" i="78"/>
  <c r="AY47" i="78"/>
  <c r="BA47" i="78"/>
  <c r="BC47" i="78"/>
  <c r="BD47" i="78"/>
  <c r="BF47" i="78"/>
  <c r="BG47" i="78"/>
  <c r="B48" i="78"/>
  <c r="F48" i="78"/>
  <c r="H48" i="78"/>
  <c r="P48" i="78"/>
  <c r="O48" i="78"/>
  <c r="S48" i="78"/>
  <c r="R48" i="78"/>
  <c r="V48" i="78"/>
  <c r="U48" i="78"/>
  <c r="Y48" i="78"/>
  <c r="X48" i="78"/>
  <c r="AB48" i="78"/>
  <c r="AA48" i="78"/>
  <c r="AW48" i="78"/>
  <c r="AY48" i="78"/>
  <c r="BA48" i="78"/>
  <c r="BC48" i="78"/>
  <c r="BD48" i="78"/>
  <c r="BF48" i="78"/>
  <c r="BG48" i="78"/>
  <c r="B49" i="78"/>
  <c r="F49" i="78"/>
  <c r="H49" i="78"/>
  <c r="I49" i="78"/>
  <c r="K49" i="78"/>
  <c r="AC49" i="78"/>
  <c r="P49" i="78"/>
  <c r="O49" i="78"/>
  <c r="S49" i="78"/>
  <c r="R49" i="78"/>
  <c r="V49" i="78"/>
  <c r="U49" i="78"/>
  <c r="Y49" i="78"/>
  <c r="X49" i="78"/>
  <c r="AB49" i="78"/>
  <c r="AA49" i="78"/>
  <c r="AW49" i="78"/>
  <c r="AY49" i="78"/>
  <c r="BA49" i="78"/>
  <c r="BC49" i="78"/>
  <c r="BD49" i="78"/>
  <c r="BF49" i="78"/>
  <c r="BG49" i="78"/>
  <c r="B50" i="78"/>
  <c r="F50" i="78"/>
  <c r="H50" i="78"/>
  <c r="I50" i="78"/>
  <c r="P50" i="78"/>
  <c r="O50" i="78"/>
  <c r="S50" i="78"/>
  <c r="R50" i="78"/>
  <c r="V50" i="78"/>
  <c r="U50" i="78"/>
  <c r="Y50" i="78"/>
  <c r="X50" i="78"/>
  <c r="AB50" i="78"/>
  <c r="AA50" i="78"/>
  <c r="AW50" i="78"/>
  <c r="AY50" i="78"/>
  <c r="BA50" i="78"/>
  <c r="BC50" i="78"/>
  <c r="BD50" i="78"/>
  <c r="BF50" i="78"/>
  <c r="BG50" i="78"/>
  <c r="B51" i="78"/>
  <c r="F51" i="78"/>
  <c r="I51" i="78"/>
  <c r="H51" i="78"/>
  <c r="P51" i="78"/>
  <c r="O51" i="78"/>
  <c r="S51" i="78"/>
  <c r="R51" i="78"/>
  <c r="V51" i="78"/>
  <c r="U51" i="78"/>
  <c r="Y51" i="78"/>
  <c r="X51" i="78"/>
  <c r="AB51" i="78"/>
  <c r="AA51" i="78"/>
  <c r="AW51" i="78"/>
  <c r="AY51" i="78"/>
  <c r="BA51" i="78"/>
  <c r="BC51" i="78"/>
  <c r="BD51" i="78"/>
  <c r="BF51" i="78"/>
  <c r="BG51" i="78"/>
  <c r="B52" i="78"/>
  <c r="F52" i="78"/>
  <c r="I52" i="78"/>
  <c r="H52" i="78"/>
  <c r="P52" i="78"/>
  <c r="O52" i="78"/>
  <c r="S52" i="78"/>
  <c r="R52" i="78"/>
  <c r="V52" i="78"/>
  <c r="U52" i="78"/>
  <c r="Y52" i="78"/>
  <c r="X52" i="78"/>
  <c r="AB52" i="78"/>
  <c r="AA52" i="78"/>
  <c r="AW52" i="78"/>
  <c r="AY52" i="78"/>
  <c r="BA52" i="78"/>
  <c r="BC52" i="78"/>
  <c r="BD52" i="78"/>
  <c r="BF52" i="78"/>
  <c r="BG52" i="78"/>
  <c r="L54" i="78"/>
  <c r="AY53" i="78"/>
  <c r="AZ54" i="78"/>
  <c r="M54" i="78"/>
  <c r="BB54" i="78"/>
  <c r="BE54" i="78"/>
  <c r="J57" i="78"/>
  <c r="AX60" i="78"/>
  <c r="K63" i="78"/>
  <c r="L63" i="78"/>
  <c r="M63" i="78"/>
  <c r="N63" i="78"/>
  <c r="O63" i="78"/>
  <c r="K64" i="78"/>
  <c r="L64" i="78"/>
  <c r="M64" i="78"/>
  <c r="N64" i="78"/>
  <c r="O64" i="78"/>
  <c r="B2" i="79"/>
  <c r="A3" i="79"/>
  <c r="B3" i="79"/>
  <c r="A4" i="79"/>
  <c r="B4" i="79"/>
  <c r="A5" i="79"/>
  <c r="B5" i="79"/>
  <c r="A6" i="79"/>
  <c r="B6" i="79"/>
  <c r="A7" i="79"/>
  <c r="B7" i="79"/>
  <c r="A8" i="79"/>
  <c r="B8" i="79"/>
  <c r="A9" i="79"/>
  <c r="B9" i="79"/>
  <c r="A10" i="79"/>
  <c r="B10" i="79"/>
  <c r="U10" i="79"/>
  <c r="A11" i="79"/>
  <c r="B11" i="79"/>
  <c r="A12" i="79"/>
  <c r="B12" i="79"/>
  <c r="A13" i="79"/>
  <c r="B13" i="79"/>
  <c r="A14" i="79"/>
  <c r="B14" i="79"/>
  <c r="A15" i="79"/>
  <c r="B15" i="79"/>
  <c r="A16" i="79"/>
  <c r="B16" i="79"/>
  <c r="V16" i="79"/>
  <c r="A17" i="79"/>
  <c r="B17" i="79"/>
  <c r="A18" i="79"/>
  <c r="B18" i="79"/>
  <c r="A19" i="79"/>
  <c r="B19" i="79"/>
  <c r="A20" i="79"/>
  <c r="B20" i="79"/>
  <c r="A21" i="79"/>
  <c r="B21" i="79"/>
  <c r="A22" i="79"/>
  <c r="B22" i="79"/>
  <c r="A23" i="79"/>
  <c r="B23" i="79"/>
  <c r="A24" i="79"/>
  <c r="B24" i="79"/>
  <c r="A25" i="79"/>
  <c r="B25" i="79"/>
  <c r="A26" i="79"/>
  <c r="B26" i="79"/>
  <c r="A27" i="79"/>
  <c r="B27" i="79"/>
  <c r="A28" i="79"/>
  <c r="B28" i="79"/>
  <c r="A29" i="79"/>
  <c r="B29" i="79"/>
  <c r="A30" i="79"/>
  <c r="B30" i="79"/>
  <c r="A31" i="79"/>
  <c r="B31" i="79"/>
  <c r="A32" i="79"/>
  <c r="B32" i="79"/>
  <c r="A33" i="79"/>
  <c r="B33" i="79"/>
  <c r="A34" i="79"/>
  <c r="B34" i="79"/>
  <c r="A35" i="79"/>
  <c r="B35" i="79"/>
  <c r="A36" i="79"/>
  <c r="B36" i="79"/>
  <c r="A37" i="79"/>
  <c r="B37" i="79"/>
  <c r="A38" i="79"/>
  <c r="B38" i="79"/>
  <c r="C6" i="70"/>
  <c r="J6" i="70"/>
  <c r="N6" i="70"/>
  <c r="C7" i="70"/>
  <c r="C8" i="70"/>
  <c r="J8" i="70"/>
  <c r="K8" i="70"/>
  <c r="C9" i="70"/>
  <c r="N9" i="70"/>
  <c r="D20" i="71"/>
  <c r="G20" i="71"/>
  <c r="C10" i="70"/>
  <c r="J10" i="70"/>
  <c r="K10" i="70"/>
  <c r="C11" i="70"/>
  <c r="J11" i="70"/>
  <c r="K11" i="70"/>
  <c r="M11" i="70"/>
  <c r="N11" i="70"/>
  <c r="D22" i="71"/>
  <c r="G22" i="71" s="1"/>
  <c r="C12" i="70"/>
  <c r="J12" i="70"/>
  <c r="K12" i="70"/>
  <c r="M12" i="70"/>
  <c r="N12" i="70"/>
  <c r="D23" i="71"/>
  <c r="G23" i="71"/>
  <c r="C13" i="70"/>
  <c r="J13" i="70"/>
  <c r="K13" i="70"/>
  <c r="M13" i="70"/>
  <c r="N13" i="70"/>
  <c r="D24" i="71"/>
  <c r="G24" i="71" s="1"/>
  <c r="C14" i="70"/>
  <c r="J14" i="70"/>
  <c r="K14" i="70"/>
  <c r="M14" i="70"/>
  <c r="N14" i="70"/>
  <c r="D25" i="71"/>
  <c r="G25" i="71"/>
  <c r="C15" i="70"/>
  <c r="J15" i="70"/>
  <c r="K15" i="70"/>
  <c r="M15" i="70"/>
  <c r="N15" i="70"/>
  <c r="D26" i="71"/>
  <c r="G26" i="71" s="1"/>
  <c r="C16" i="70"/>
  <c r="J16" i="70"/>
  <c r="K16" i="70"/>
  <c r="M16" i="70"/>
  <c r="N16" i="70"/>
  <c r="D27" i="71"/>
  <c r="G27" i="71" s="1"/>
  <c r="C17" i="70"/>
  <c r="J17" i="70"/>
  <c r="K17" i="70"/>
  <c r="M17" i="70"/>
  <c r="N17" i="70"/>
  <c r="D28" i="71"/>
  <c r="G28" i="71" s="1"/>
  <c r="C18" i="70"/>
  <c r="J18" i="70"/>
  <c r="K18" i="70"/>
  <c r="M18" i="70"/>
  <c r="N18" i="70"/>
  <c r="D29" i="71"/>
  <c r="G29" i="71"/>
  <c r="C19" i="70"/>
  <c r="J19" i="70"/>
  <c r="K19" i="70"/>
  <c r="M19" i="70"/>
  <c r="N19" i="70"/>
  <c r="D30" i="71"/>
  <c r="G30" i="71" s="1"/>
  <c r="C20" i="70"/>
  <c r="J20" i="70"/>
  <c r="K20" i="70"/>
  <c r="M20" i="70"/>
  <c r="N20" i="70"/>
  <c r="D31" i="71"/>
  <c r="G31" i="71"/>
  <c r="C21" i="70"/>
  <c r="J21" i="70"/>
  <c r="K21" i="70"/>
  <c r="M21" i="70"/>
  <c r="N21" i="70"/>
  <c r="D32" i="71"/>
  <c r="G32" i="71" s="1"/>
  <c r="C22" i="70"/>
  <c r="J22" i="70"/>
  <c r="K22" i="70"/>
  <c r="M22" i="70"/>
  <c r="N22" i="70"/>
  <c r="D33" i="71"/>
  <c r="G33" i="71"/>
  <c r="C23" i="70"/>
  <c r="J23" i="70"/>
  <c r="K23" i="70"/>
  <c r="M23" i="70"/>
  <c r="N23" i="70"/>
  <c r="D34" i="71"/>
  <c r="G34" i="71"/>
  <c r="C24" i="70"/>
  <c r="J24" i="70"/>
  <c r="K24" i="70"/>
  <c r="M24" i="70"/>
  <c r="N24" i="70"/>
  <c r="D35" i="71"/>
  <c r="G35" i="71" s="1"/>
  <c r="C25" i="70"/>
  <c r="J25" i="70"/>
  <c r="K25" i="70"/>
  <c r="M25" i="70"/>
  <c r="N25" i="70"/>
  <c r="D36" i="71"/>
  <c r="G36" i="71" s="1"/>
  <c r="C26" i="70"/>
  <c r="J26" i="70"/>
  <c r="K26" i="70"/>
  <c r="M26" i="70"/>
  <c r="N26" i="70"/>
  <c r="D37" i="71"/>
  <c r="G37" i="71"/>
  <c r="C27" i="70"/>
  <c r="J27" i="70"/>
  <c r="K27" i="70"/>
  <c r="M27" i="70"/>
  <c r="N27" i="70"/>
  <c r="D38" i="71"/>
  <c r="G38" i="71" s="1"/>
  <c r="C28" i="70"/>
  <c r="J28" i="70"/>
  <c r="K28" i="70"/>
  <c r="M28" i="70"/>
  <c r="N28" i="70"/>
  <c r="D39" i="71"/>
  <c r="G39" i="71"/>
  <c r="C29" i="70"/>
  <c r="J29" i="70"/>
  <c r="K29" i="70"/>
  <c r="M29" i="70"/>
  <c r="N29" i="70"/>
  <c r="D40" i="71"/>
  <c r="G40" i="71"/>
  <c r="C30" i="70"/>
  <c r="J30" i="70"/>
  <c r="K30" i="70"/>
  <c r="M30" i="70"/>
  <c r="N30" i="70"/>
  <c r="D41" i="71"/>
  <c r="G41" i="71" s="1"/>
  <c r="C31" i="70"/>
  <c r="J31" i="70"/>
  <c r="K31" i="70"/>
  <c r="M31" i="70"/>
  <c r="N31" i="70"/>
  <c r="D42" i="71"/>
  <c r="G42" i="71" s="1"/>
  <c r="C32" i="70"/>
  <c r="J32" i="70"/>
  <c r="K32" i="70"/>
  <c r="M32" i="70"/>
  <c r="N32" i="70"/>
  <c r="D43" i="71"/>
  <c r="G43" i="71" s="1"/>
  <c r="C33" i="70"/>
  <c r="J33" i="70"/>
  <c r="K33" i="70"/>
  <c r="M33" i="70"/>
  <c r="N33" i="70"/>
  <c r="D44" i="71"/>
  <c r="G44" i="71" s="1"/>
  <c r="C34" i="70"/>
  <c r="J34" i="70"/>
  <c r="K34" i="70"/>
  <c r="M34" i="70"/>
  <c r="N34" i="70"/>
  <c r="D45" i="71"/>
  <c r="G45" i="71"/>
  <c r="C35" i="70"/>
  <c r="J35" i="70"/>
  <c r="K35" i="70"/>
  <c r="M35" i="70"/>
  <c r="N35" i="70"/>
  <c r="D46" i="71"/>
  <c r="G46" i="71" s="1"/>
  <c r="C36" i="70"/>
  <c r="J36" i="70"/>
  <c r="K36" i="70"/>
  <c r="M36" i="70"/>
  <c r="N36" i="70"/>
  <c r="D47" i="71"/>
  <c r="G47" i="71" s="1"/>
  <c r="C37" i="70"/>
  <c r="J37" i="70"/>
  <c r="K37" i="70"/>
  <c r="M37" i="70"/>
  <c r="N37" i="70"/>
  <c r="D48" i="71"/>
  <c r="G48" i="71"/>
  <c r="C38" i="70"/>
  <c r="J38" i="70"/>
  <c r="K38" i="70"/>
  <c r="M38" i="70"/>
  <c r="N38" i="70"/>
  <c r="D49" i="71"/>
  <c r="G49" i="71"/>
  <c r="C39" i="70"/>
  <c r="J39" i="70"/>
  <c r="K39" i="70"/>
  <c r="M39" i="70"/>
  <c r="N39" i="70"/>
  <c r="D50" i="71"/>
  <c r="G50" i="71" s="1"/>
  <c r="C40" i="70"/>
  <c r="J40" i="70"/>
  <c r="K40" i="70"/>
  <c r="M40" i="70"/>
  <c r="N40" i="70"/>
  <c r="D51" i="71"/>
  <c r="G51" i="71" s="1"/>
  <c r="C41" i="70"/>
  <c r="J41" i="70"/>
  <c r="K41" i="70"/>
  <c r="M41" i="70"/>
  <c r="N41" i="70"/>
  <c r="D52" i="71"/>
  <c r="G52" i="71" s="1"/>
  <c r="D42" i="70"/>
  <c r="E42" i="70"/>
  <c r="E43" i="70"/>
  <c r="F42" i="70"/>
  <c r="F43" i="70"/>
  <c r="G42" i="70"/>
  <c r="H42" i="70"/>
  <c r="H43" i="70"/>
  <c r="I42" i="70"/>
  <c r="D43" i="70"/>
  <c r="G43" i="70"/>
  <c r="I43" i="70"/>
  <c r="L43" i="70"/>
  <c r="J1" i="71"/>
  <c r="AD1" i="71" s="1"/>
  <c r="X1" i="71"/>
  <c r="E7" i="71"/>
  <c r="B17" i="71"/>
  <c r="D17" i="71"/>
  <c r="G17" i="71" s="1"/>
  <c r="P17" i="71"/>
  <c r="O17" i="71"/>
  <c r="S17" i="71"/>
  <c r="R17" i="71" s="1"/>
  <c r="V17" i="71"/>
  <c r="U17" i="71" s="1"/>
  <c r="Y17" i="71"/>
  <c r="X17" i="71"/>
  <c r="AB17" i="71"/>
  <c r="AA17" i="71" s="1"/>
  <c r="AW17" i="71"/>
  <c r="AY17" i="71"/>
  <c r="BA17" i="71"/>
  <c r="BC17" i="71"/>
  <c r="BD17" i="71" s="1"/>
  <c r="BF17" i="71"/>
  <c r="BG17" i="71" s="1"/>
  <c r="B18" i="71"/>
  <c r="B52" i="71"/>
  <c r="B51" i="71"/>
  <c r="B50" i="71"/>
  <c r="B49" i="71"/>
  <c r="B48" i="71"/>
  <c r="B47" i="71"/>
  <c r="B46" i="71"/>
  <c r="B45" i="71"/>
  <c r="B44" i="71"/>
  <c r="B43" i="71"/>
  <c r="B42" i="71"/>
  <c r="B41" i="71"/>
  <c r="B40" i="71"/>
  <c r="B39" i="71"/>
  <c r="B38" i="71"/>
  <c r="B37" i="71"/>
  <c r="B36" i="71"/>
  <c r="B35" i="71"/>
  <c r="B34" i="71"/>
  <c r="B33" i="71"/>
  <c r="B32" i="71"/>
  <c r="B31" i="71"/>
  <c r="B30" i="71"/>
  <c r="B29" i="71"/>
  <c r="B28" i="71"/>
  <c r="B27" i="71"/>
  <c r="B26" i="71"/>
  <c r="B25" i="71"/>
  <c r="B24" i="71"/>
  <c r="B23" i="71"/>
  <c r="B22" i="71"/>
  <c r="B21" i="71"/>
  <c r="B20" i="71"/>
  <c r="B19" i="71"/>
  <c r="P18" i="71"/>
  <c r="O18" i="71" s="1"/>
  <c r="T6" i="72" s="1"/>
  <c r="S18" i="71"/>
  <c r="R18" i="71" s="1"/>
  <c r="T8" i="72" s="1"/>
  <c r="V18" i="71"/>
  <c r="U10" i="72" s="1"/>
  <c r="Y18" i="71"/>
  <c r="U12" i="72" s="1"/>
  <c r="AB18" i="71"/>
  <c r="AW18" i="71"/>
  <c r="AY18" i="71"/>
  <c r="BA18" i="71"/>
  <c r="BC18" i="71"/>
  <c r="BD18" i="71" s="1"/>
  <c r="BF18" i="71"/>
  <c r="BG18" i="71" s="1"/>
  <c r="H19" i="71"/>
  <c r="P19" i="71"/>
  <c r="O19" i="71" s="1"/>
  <c r="S19" i="71"/>
  <c r="R19" i="71" s="1"/>
  <c r="V19" i="71"/>
  <c r="U19" i="71"/>
  <c r="Y19" i="71"/>
  <c r="X19" i="71" s="1"/>
  <c r="AB19" i="71"/>
  <c r="AA19" i="71" s="1"/>
  <c r="AW19" i="71"/>
  <c r="AY19" i="71"/>
  <c r="BA19" i="71"/>
  <c r="BC19" i="71"/>
  <c r="BD19" i="71" s="1"/>
  <c r="BF19" i="71"/>
  <c r="BG19" i="71"/>
  <c r="P20" i="71"/>
  <c r="O20" i="71"/>
  <c r="S20" i="71"/>
  <c r="R20" i="71" s="1"/>
  <c r="V20" i="71"/>
  <c r="U20" i="71" s="1"/>
  <c r="Y20" i="71"/>
  <c r="X20" i="71"/>
  <c r="AB20" i="71"/>
  <c r="AA20" i="71" s="1"/>
  <c r="AW20" i="71"/>
  <c r="AY20" i="71"/>
  <c r="BA20" i="71"/>
  <c r="BC20" i="71"/>
  <c r="BD20" i="71" s="1"/>
  <c r="BF20" i="71"/>
  <c r="BG20" i="71" s="1"/>
  <c r="F21" i="71"/>
  <c r="I21" i="71" s="1"/>
  <c r="K21" i="71" s="1"/>
  <c r="H21" i="71"/>
  <c r="P21" i="71"/>
  <c r="O21" i="71" s="1"/>
  <c r="S21" i="71"/>
  <c r="R21" i="71"/>
  <c r="V21" i="71"/>
  <c r="U21" i="71"/>
  <c r="Y21" i="71"/>
  <c r="X21" i="71" s="1"/>
  <c r="AB21" i="71"/>
  <c r="AA21" i="71" s="1"/>
  <c r="AW21" i="71"/>
  <c r="AY21" i="71"/>
  <c r="BA21" i="71"/>
  <c r="BC21" i="71"/>
  <c r="BD21" i="71"/>
  <c r="BF21" i="71"/>
  <c r="BG21" i="71" s="1"/>
  <c r="F22" i="71"/>
  <c r="H22" i="71"/>
  <c r="P22" i="71"/>
  <c r="O22" i="71" s="1"/>
  <c r="S22" i="71"/>
  <c r="R22" i="71" s="1"/>
  <c r="V22" i="71"/>
  <c r="U22" i="71"/>
  <c r="Y22" i="71"/>
  <c r="X22" i="71"/>
  <c r="AB22" i="71"/>
  <c r="AA22" i="71" s="1"/>
  <c r="AW22" i="71"/>
  <c r="AY22" i="71"/>
  <c r="BA22" i="71"/>
  <c r="BC22" i="71"/>
  <c r="BD22" i="71" s="1"/>
  <c r="BF22" i="71"/>
  <c r="BG22" i="71" s="1"/>
  <c r="F23" i="71"/>
  <c r="H23" i="71"/>
  <c r="P23" i="71"/>
  <c r="O23" i="71"/>
  <c r="S23" i="71"/>
  <c r="R23" i="71"/>
  <c r="V23" i="71"/>
  <c r="U23" i="71" s="1"/>
  <c r="Y23" i="71"/>
  <c r="X23" i="71"/>
  <c r="AB23" i="71"/>
  <c r="AA23" i="71" s="1"/>
  <c r="AW23" i="71"/>
  <c r="AY23" i="71"/>
  <c r="BA23" i="71"/>
  <c r="BC23" i="71"/>
  <c r="BD23" i="71"/>
  <c r="BF23" i="71"/>
  <c r="BG23" i="71"/>
  <c r="F24" i="71"/>
  <c r="I24" i="71" s="1"/>
  <c r="H24" i="71"/>
  <c r="P24" i="71"/>
  <c r="O24" i="71" s="1"/>
  <c r="S24" i="71"/>
  <c r="R24" i="71"/>
  <c r="V24" i="71"/>
  <c r="U24" i="71"/>
  <c r="Y24" i="71"/>
  <c r="X24" i="71" s="1"/>
  <c r="AB24" i="71"/>
  <c r="AA24" i="71"/>
  <c r="AW24" i="71"/>
  <c r="AY24" i="71"/>
  <c r="BA24" i="71"/>
  <c r="BC24" i="71"/>
  <c r="BD24" i="71"/>
  <c r="BF24" i="71"/>
  <c r="BG24" i="71" s="1"/>
  <c r="F25" i="71"/>
  <c r="I25" i="71" s="1"/>
  <c r="H25" i="71"/>
  <c r="P25" i="71"/>
  <c r="O25" i="71" s="1"/>
  <c r="S25" i="71"/>
  <c r="R25" i="71" s="1"/>
  <c r="V25" i="71"/>
  <c r="U25" i="71" s="1"/>
  <c r="Y25" i="71"/>
  <c r="X25" i="71" s="1"/>
  <c r="AB25" i="71"/>
  <c r="AA25" i="71" s="1"/>
  <c r="AW25" i="71"/>
  <c r="AY25" i="71"/>
  <c r="BA25" i="71"/>
  <c r="BC25" i="71"/>
  <c r="BD25" i="71" s="1"/>
  <c r="BF25" i="71"/>
  <c r="BG25" i="71"/>
  <c r="F26" i="71"/>
  <c r="H26" i="71"/>
  <c r="P26" i="71"/>
  <c r="O26" i="71" s="1"/>
  <c r="S26" i="71"/>
  <c r="R26" i="71" s="1"/>
  <c r="V26" i="71"/>
  <c r="U26" i="71" s="1"/>
  <c r="Y26" i="71"/>
  <c r="X26" i="71" s="1"/>
  <c r="AB26" i="71"/>
  <c r="AA26" i="71"/>
  <c r="AW26" i="71"/>
  <c r="AY26" i="71"/>
  <c r="BA26" i="71"/>
  <c r="BC26" i="71"/>
  <c r="BD26" i="71" s="1"/>
  <c r="BF26" i="71"/>
  <c r="BG26" i="71"/>
  <c r="F27" i="71"/>
  <c r="H27" i="71"/>
  <c r="P27" i="71"/>
  <c r="O27" i="71" s="1"/>
  <c r="S27" i="71"/>
  <c r="R27" i="71" s="1"/>
  <c r="V27" i="71"/>
  <c r="U27" i="71" s="1"/>
  <c r="Y27" i="71"/>
  <c r="X27" i="71" s="1"/>
  <c r="AB27" i="71"/>
  <c r="AA27" i="71"/>
  <c r="AW27" i="71"/>
  <c r="AY27" i="71"/>
  <c r="BA27" i="71"/>
  <c r="BC27" i="71"/>
  <c r="BD27" i="71"/>
  <c r="BF27" i="71"/>
  <c r="BG27" i="71"/>
  <c r="F28" i="71"/>
  <c r="I28" i="71" s="1"/>
  <c r="H28" i="71"/>
  <c r="P28" i="71"/>
  <c r="O28" i="71" s="1"/>
  <c r="S28" i="71"/>
  <c r="R28" i="71"/>
  <c r="V28" i="71"/>
  <c r="U28" i="71"/>
  <c r="Y28" i="71"/>
  <c r="X28" i="71" s="1"/>
  <c r="AB28" i="71"/>
  <c r="AA28" i="71"/>
  <c r="AW28" i="71"/>
  <c r="AY28" i="71"/>
  <c r="BA28" i="71"/>
  <c r="BC28" i="71"/>
  <c r="BD28" i="71"/>
  <c r="BF28" i="71"/>
  <c r="BG28" i="71" s="1"/>
  <c r="F29" i="71"/>
  <c r="H29" i="71"/>
  <c r="P29" i="71"/>
  <c r="O29" i="71" s="1"/>
  <c r="S29" i="71"/>
  <c r="R29" i="71" s="1"/>
  <c r="V29" i="71"/>
  <c r="U29" i="71"/>
  <c r="Y29" i="71"/>
  <c r="X29" i="71" s="1"/>
  <c r="AB29" i="71"/>
  <c r="AA29" i="71" s="1"/>
  <c r="AW29" i="71"/>
  <c r="AY29" i="71"/>
  <c r="BA29" i="71"/>
  <c r="BC29" i="71"/>
  <c r="BD29" i="71" s="1"/>
  <c r="BF29" i="71"/>
  <c r="BG29" i="71" s="1"/>
  <c r="F30" i="71"/>
  <c r="H30" i="71"/>
  <c r="P30" i="71"/>
  <c r="O30" i="71" s="1"/>
  <c r="S30" i="71"/>
  <c r="R30" i="71" s="1"/>
  <c r="V30" i="71"/>
  <c r="U30" i="71"/>
  <c r="Y30" i="71"/>
  <c r="X30" i="71" s="1"/>
  <c r="AB30" i="71"/>
  <c r="AA30" i="71" s="1"/>
  <c r="AW30" i="71"/>
  <c r="AY30" i="71"/>
  <c r="BA30" i="71"/>
  <c r="BC30" i="71"/>
  <c r="BD30" i="71" s="1"/>
  <c r="BF30" i="71"/>
  <c r="BG30" i="71" s="1"/>
  <c r="F31" i="71"/>
  <c r="I31" i="71"/>
  <c r="J31" i="71" s="1"/>
  <c r="H31" i="71"/>
  <c r="P31" i="71"/>
  <c r="O31" i="71" s="1"/>
  <c r="S31" i="71"/>
  <c r="R31" i="71" s="1"/>
  <c r="V31" i="71"/>
  <c r="U31" i="71" s="1"/>
  <c r="Y31" i="71"/>
  <c r="X31" i="71" s="1"/>
  <c r="AB31" i="71"/>
  <c r="AA31" i="71" s="1"/>
  <c r="AW31" i="71"/>
  <c r="AY31" i="71"/>
  <c r="BA31" i="71"/>
  <c r="BC31" i="71"/>
  <c r="BD31" i="71" s="1"/>
  <c r="BF31" i="71"/>
  <c r="BG31" i="71"/>
  <c r="F32" i="71"/>
  <c r="H32" i="71"/>
  <c r="P32" i="71"/>
  <c r="O32" i="71" s="1"/>
  <c r="S32" i="71"/>
  <c r="R32" i="71" s="1"/>
  <c r="V32" i="71"/>
  <c r="U32" i="71"/>
  <c r="Y32" i="71"/>
  <c r="X32" i="71" s="1"/>
  <c r="AB32" i="71"/>
  <c r="AA32" i="71" s="1"/>
  <c r="AW32" i="71"/>
  <c r="AY32" i="71"/>
  <c r="BA32" i="71"/>
  <c r="BC32" i="71"/>
  <c r="BD32" i="71" s="1"/>
  <c r="BF32" i="71"/>
  <c r="BG32" i="71" s="1"/>
  <c r="F33" i="71"/>
  <c r="H33" i="71"/>
  <c r="P33" i="71"/>
  <c r="O33" i="71"/>
  <c r="S33" i="71"/>
  <c r="R33" i="71" s="1"/>
  <c r="V33" i="71"/>
  <c r="U33" i="71"/>
  <c r="Y33" i="71"/>
  <c r="X33" i="71" s="1"/>
  <c r="AB33" i="71"/>
  <c r="AA33" i="71" s="1"/>
  <c r="AW33" i="71"/>
  <c r="AY33" i="71"/>
  <c r="BA33" i="71"/>
  <c r="BC33" i="71"/>
  <c r="BD33" i="71"/>
  <c r="BF33" i="71"/>
  <c r="BG33" i="71" s="1"/>
  <c r="F34" i="71"/>
  <c r="I34" i="71" s="1"/>
  <c r="H34" i="71"/>
  <c r="P34" i="71"/>
  <c r="O34" i="71"/>
  <c r="S34" i="71"/>
  <c r="R34" i="71" s="1"/>
  <c r="V34" i="71"/>
  <c r="U34" i="71"/>
  <c r="Y34" i="71"/>
  <c r="X34" i="71" s="1"/>
  <c r="AB34" i="71"/>
  <c r="AA34" i="71" s="1"/>
  <c r="AW34" i="71"/>
  <c r="AY34" i="71"/>
  <c r="BA34" i="71"/>
  <c r="BC34" i="71"/>
  <c r="BD34" i="71" s="1"/>
  <c r="BF34" i="71"/>
  <c r="BG34" i="71" s="1"/>
  <c r="F35" i="71"/>
  <c r="H35" i="71"/>
  <c r="P35" i="71"/>
  <c r="O35" i="71"/>
  <c r="S35" i="71"/>
  <c r="R35" i="71" s="1"/>
  <c r="V35" i="71"/>
  <c r="U35" i="71"/>
  <c r="Y35" i="71"/>
  <c r="X35" i="71" s="1"/>
  <c r="AB35" i="71"/>
  <c r="AA35" i="71" s="1"/>
  <c r="AW35" i="71"/>
  <c r="AY35" i="71"/>
  <c r="BA35" i="71"/>
  <c r="BC35" i="71"/>
  <c r="BD35" i="71" s="1"/>
  <c r="BF35" i="71"/>
  <c r="BG35" i="71" s="1"/>
  <c r="F36" i="71"/>
  <c r="I36" i="71" s="1"/>
  <c r="J36" i="71" s="1"/>
  <c r="H36" i="71"/>
  <c r="P36" i="71"/>
  <c r="O36" i="71"/>
  <c r="S36" i="71"/>
  <c r="R36" i="71"/>
  <c r="V36" i="71"/>
  <c r="U36" i="71" s="1"/>
  <c r="Y36" i="71"/>
  <c r="X36" i="71"/>
  <c r="AB36" i="71"/>
  <c r="AA36" i="71"/>
  <c r="AW36" i="71"/>
  <c r="AY36" i="71"/>
  <c r="BA36" i="71"/>
  <c r="BC36" i="71"/>
  <c r="BD36" i="71" s="1"/>
  <c r="BF36" i="71"/>
  <c r="BG36" i="71" s="1"/>
  <c r="F37" i="71"/>
  <c r="H37" i="71"/>
  <c r="I37" i="71" s="1"/>
  <c r="P37" i="71"/>
  <c r="O37" i="71" s="1"/>
  <c r="S37" i="71"/>
  <c r="R37" i="71" s="1"/>
  <c r="V37" i="71"/>
  <c r="U37" i="71"/>
  <c r="Y37" i="71"/>
  <c r="X37" i="71"/>
  <c r="AB37" i="71"/>
  <c r="AA37" i="71" s="1"/>
  <c r="AW37" i="71"/>
  <c r="AY37" i="71"/>
  <c r="BA37" i="71"/>
  <c r="BC37" i="71"/>
  <c r="BD37" i="71" s="1"/>
  <c r="BF37" i="71"/>
  <c r="BG37" i="71" s="1"/>
  <c r="F38" i="71"/>
  <c r="I38" i="71" s="1"/>
  <c r="H38" i="71"/>
  <c r="P38" i="71"/>
  <c r="O38" i="71" s="1"/>
  <c r="S38" i="71"/>
  <c r="R38" i="71" s="1"/>
  <c r="V38" i="71"/>
  <c r="U38" i="71"/>
  <c r="Y38" i="71"/>
  <c r="X38" i="71"/>
  <c r="AB38" i="71"/>
  <c r="AA38" i="71" s="1"/>
  <c r="AW38" i="71"/>
  <c r="AY38" i="71"/>
  <c r="BA38" i="71"/>
  <c r="BC38" i="71"/>
  <c r="BD38" i="71" s="1"/>
  <c r="BF38" i="71"/>
  <c r="BG38" i="71" s="1"/>
  <c r="F39" i="71"/>
  <c r="H39" i="71"/>
  <c r="P39" i="71"/>
  <c r="O39" i="71"/>
  <c r="S39" i="71"/>
  <c r="R39" i="71" s="1"/>
  <c r="V39" i="71"/>
  <c r="U39" i="71"/>
  <c r="Y39" i="71"/>
  <c r="X39" i="71"/>
  <c r="AB39" i="71"/>
  <c r="AA39" i="71" s="1"/>
  <c r="AW39" i="71"/>
  <c r="AY39" i="71"/>
  <c r="BA39" i="71"/>
  <c r="BC39" i="71"/>
  <c r="BD39" i="71" s="1"/>
  <c r="BF39" i="71"/>
  <c r="BG39" i="71" s="1"/>
  <c r="F40" i="71"/>
  <c r="H40" i="71"/>
  <c r="P40" i="71"/>
  <c r="O40" i="71"/>
  <c r="S40" i="71"/>
  <c r="R40" i="71" s="1"/>
  <c r="V40" i="71"/>
  <c r="U40" i="71"/>
  <c r="Y40" i="71"/>
  <c r="X40" i="71"/>
  <c r="AB40" i="71"/>
  <c r="AA40" i="71" s="1"/>
  <c r="AW40" i="71"/>
  <c r="AY40" i="71"/>
  <c r="BA40" i="71"/>
  <c r="BC40" i="71"/>
  <c r="BD40" i="71" s="1"/>
  <c r="BF40" i="71"/>
  <c r="BG40" i="71" s="1"/>
  <c r="F41" i="71"/>
  <c r="H41" i="71"/>
  <c r="P41" i="71"/>
  <c r="O41" i="71" s="1"/>
  <c r="S41" i="71"/>
  <c r="R41" i="71" s="1"/>
  <c r="V41" i="71"/>
  <c r="U41" i="71"/>
  <c r="Y41" i="71"/>
  <c r="X41" i="71" s="1"/>
  <c r="AB41" i="71"/>
  <c r="AA41" i="71"/>
  <c r="AW41" i="71"/>
  <c r="AY41" i="71"/>
  <c r="BA41" i="71"/>
  <c r="BC41" i="71"/>
  <c r="BD41" i="71"/>
  <c r="BF41" i="71"/>
  <c r="BG41" i="71"/>
  <c r="F42" i="71"/>
  <c r="I42" i="71" s="1"/>
  <c r="K42" i="71" s="1"/>
  <c r="H42" i="71"/>
  <c r="P42" i="71"/>
  <c r="O42" i="71" s="1"/>
  <c r="S42" i="71"/>
  <c r="R42" i="71" s="1"/>
  <c r="V42" i="71"/>
  <c r="U42" i="71" s="1"/>
  <c r="Y42" i="71"/>
  <c r="X42" i="71"/>
  <c r="AB42" i="71"/>
  <c r="AA42" i="71" s="1"/>
  <c r="AW42" i="71"/>
  <c r="AY42" i="71"/>
  <c r="BA42" i="71"/>
  <c r="BC42" i="71"/>
  <c r="BD42" i="71" s="1"/>
  <c r="BF42" i="71"/>
  <c r="BG42" i="71"/>
  <c r="F43" i="71"/>
  <c r="H43" i="71"/>
  <c r="P43" i="71"/>
  <c r="O43" i="71" s="1"/>
  <c r="S43" i="71"/>
  <c r="R43" i="71"/>
  <c r="V43" i="71"/>
  <c r="U43" i="71"/>
  <c r="Y43" i="71"/>
  <c r="X43" i="71" s="1"/>
  <c r="AB43" i="71"/>
  <c r="AA43" i="71" s="1"/>
  <c r="AW43" i="71"/>
  <c r="AY43" i="71"/>
  <c r="BA43" i="71"/>
  <c r="BC43" i="71"/>
  <c r="BD43" i="71" s="1"/>
  <c r="BF43" i="71"/>
  <c r="BG43" i="71"/>
  <c r="F44" i="71"/>
  <c r="H44" i="71"/>
  <c r="I44" i="71" s="1"/>
  <c r="K44" i="71" s="1"/>
  <c r="P44" i="71"/>
  <c r="O44" i="71" s="1"/>
  <c r="S44" i="71"/>
  <c r="R44" i="71" s="1"/>
  <c r="V44" i="71"/>
  <c r="U44" i="71" s="1"/>
  <c r="Y44" i="71"/>
  <c r="X44" i="71" s="1"/>
  <c r="AB44" i="71"/>
  <c r="AA44" i="71" s="1"/>
  <c r="AW44" i="71"/>
  <c r="AY44" i="71"/>
  <c r="BA44" i="71"/>
  <c r="BC44" i="71"/>
  <c r="BD44" i="71"/>
  <c r="BF44" i="71"/>
  <c r="BG44" i="71" s="1"/>
  <c r="F45" i="71"/>
  <c r="H45" i="71"/>
  <c r="P45" i="71"/>
  <c r="O45" i="71"/>
  <c r="S45" i="71"/>
  <c r="R45" i="71"/>
  <c r="V45" i="71"/>
  <c r="U45" i="71" s="1"/>
  <c r="Y45" i="71"/>
  <c r="X45" i="71"/>
  <c r="AB45" i="71"/>
  <c r="AA45" i="71" s="1"/>
  <c r="AW45" i="71"/>
  <c r="AY45" i="71"/>
  <c r="BA45" i="71"/>
  <c r="BC45" i="71"/>
  <c r="BD45" i="71" s="1"/>
  <c r="BF45" i="71"/>
  <c r="BG45" i="71" s="1"/>
  <c r="F46" i="71"/>
  <c r="H46" i="71"/>
  <c r="P46" i="71"/>
  <c r="O46" i="71" s="1"/>
  <c r="S46" i="71"/>
  <c r="R46" i="71"/>
  <c r="V46" i="71"/>
  <c r="U46" i="71" s="1"/>
  <c r="Y46" i="71"/>
  <c r="X46" i="71"/>
  <c r="AB46" i="71"/>
  <c r="AA46" i="71" s="1"/>
  <c r="AW46" i="71"/>
  <c r="AY46" i="71"/>
  <c r="BA46" i="71"/>
  <c r="BC46" i="71"/>
  <c r="BD46" i="71" s="1"/>
  <c r="BF46" i="71"/>
  <c r="BG46" i="71" s="1"/>
  <c r="F47" i="71"/>
  <c r="H47" i="71"/>
  <c r="P47" i="71"/>
  <c r="O47" i="71"/>
  <c r="S47" i="71"/>
  <c r="R47" i="71" s="1"/>
  <c r="V47" i="71"/>
  <c r="U47" i="71" s="1"/>
  <c r="Y47" i="71"/>
  <c r="X47" i="71" s="1"/>
  <c r="AB47" i="71"/>
  <c r="AA47" i="71" s="1"/>
  <c r="AW47" i="71"/>
  <c r="AY47" i="71"/>
  <c r="BA47" i="71"/>
  <c r="BC47" i="71"/>
  <c r="BD47" i="71" s="1"/>
  <c r="BF47" i="71"/>
  <c r="BG47" i="71"/>
  <c r="F48" i="71"/>
  <c r="H48" i="71"/>
  <c r="P48" i="71"/>
  <c r="O48" i="71" s="1"/>
  <c r="S48" i="71"/>
  <c r="R48" i="71" s="1"/>
  <c r="V48" i="71"/>
  <c r="U48" i="71"/>
  <c r="Y48" i="71"/>
  <c r="X48" i="71" s="1"/>
  <c r="AB48" i="71"/>
  <c r="AA48" i="71" s="1"/>
  <c r="AW48" i="71"/>
  <c r="AY48" i="71"/>
  <c r="BA48" i="71"/>
  <c r="BC48" i="71"/>
  <c r="BD48" i="71" s="1"/>
  <c r="BF48" i="71"/>
  <c r="BG48" i="71" s="1"/>
  <c r="F49" i="71"/>
  <c r="H49" i="71"/>
  <c r="P49" i="71"/>
  <c r="O49" i="71" s="1"/>
  <c r="S49" i="71"/>
  <c r="R49" i="71" s="1"/>
  <c r="V49" i="71"/>
  <c r="U49" i="71"/>
  <c r="Y49" i="71"/>
  <c r="X49" i="71" s="1"/>
  <c r="AB49" i="71"/>
  <c r="AA49" i="71" s="1"/>
  <c r="AW49" i="71"/>
  <c r="AY49" i="71"/>
  <c r="BA49" i="71"/>
  <c r="BC49" i="71"/>
  <c r="BD49" i="71" s="1"/>
  <c r="BF49" i="71"/>
  <c r="BG49" i="71" s="1"/>
  <c r="F50" i="71"/>
  <c r="H50" i="71"/>
  <c r="P50" i="71"/>
  <c r="O50" i="71" s="1"/>
  <c r="S50" i="71"/>
  <c r="R50" i="71" s="1"/>
  <c r="V50" i="71"/>
  <c r="U50" i="71" s="1"/>
  <c r="Y50" i="71"/>
  <c r="X50" i="71"/>
  <c r="AB50" i="71"/>
  <c r="AA50" i="71" s="1"/>
  <c r="AW50" i="71"/>
  <c r="AY50" i="71"/>
  <c r="BA50" i="71"/>
  <c r="BC50" i="71"/>
  <c r="BD50" i="71" s="1"/>
  <c r="BF50" i="71"/>
  <c r="BG50" i="71" s="1"/>
  <c r="F51" i="71"/>
  <c r="H51" i="71"/>
  <c r="P51" i="71"/>
  <c r="O51" i="71"/>
  <c r="S51" i="71"/>
  <c r="R51" i="71" s="1"/>
  <c r="V51" i="71"/>
  <c r="U51" i="71" s="1"/>
  <c r="Y51" i="71"/>
  <c r="X51" i="71"/>
  <c r="AB51" i="71"/>
  <c r="AA51" i="71"/>
  <c r="AW51" i="71"/>
  <c r="AY51" i="71"/>
  <c r="BA51" i="71"/>
  <c r="BC51" i="71"/>
  <c r="BD51" i="71" s="1"/>
  <c r="BF51" i="71"/>
  <c r="BG51" i="71"/>
  <c r="F52" i="71"/>
  <c r="H52" i="71"/>
  <c r="I52" i="71" s="1"/>
  <c r="P52" i="71"/>
  <c r="O52" i="71"/>
  <c r="S52" i="71"/>
  <c r="R52" i="71" s="1"/>
  <c r="V52" i="71"/>
  <c r="U52" i="71" s="1"/>
  <c r="Y52" i="71"/>
  <c r="X52" i="71" s="1"/>
  <c r="AB52" i="71"/>
  <c r="AA52" i="71" s="1"/>
  <c r="AW52" i="71"/>
  <c r="AY52" i="71"/>
  <c r="BA52" i="71"/>
  <c r="BC52" i="71"/>
  <c r="BD52" i="71" s="1"/>
  <c r="BF52" i="71"/>
  <c r="BG52" i="71"/>
  <c r="L54" i="71"/>
  <c r="AY53" i="71" s="1"/>
  <c r="AZ54" i="71"/>
  <c r="M54" i="71"/>
  <c r="BB54" i="71"/>
  <c r="BE54" i="71"/>
  <c r="J57" i="71"/>
  <c r="AX60" i="71"/>
  <c r="K63" i="71"/>
  <c r="L63" i="71"/>
  <c r="M63" i="71"/>
  <c r="N63" i="71"/>
  <c r="O63" i="71"/>
  <c r="K64" i="71"/>
  <c r="L64" i="71"/>
  <c r="M64" i="71"/>
  <c r="N64" i="71"/>
  <c r="O64" i="71"/>
  <c r="B2" i="72"/>
  <c r="A3" i="72"/>
  <c r="B3" i="72"/>
  <c r="A4" i="72"/>
  <c r="B4" i="72"/>
  <c r="A5" i="72"/>
  <c r="B5" i="72"/>
  <c r="A6" i="72"/>
  <c r="B6" i="72"/>
  <c r="A7" i="72"/>
  <c r="B7" i="72"/>
  <c r="A8" i="72"/>
  <c r="B8" i="72"/>
  <c r="A9" i="72"/>
  <c r="B9" i="72"/>
  <c r="A10" i="72"/>
  <c r="B10" i="72"/>
  <c r="A11" i="72"/>
  <c r="B11" i="72"/>
  <c r="A12" i="72"/>
  <c r="B12" i="72"/>
  <c r="A13" i="72"/>
  <c r="B13" i="72"/>
  <c r="A14" i="72"/>
  <c r="B14" i="72"/>
  <c r="A15" i="72"/>
  <c r="B15" i="72"/>
  <c r="A16" i="72"/>
  <c r="B16" i="72"/>
  <c r="V16" i="72"/>
  <c r="A17" i="72"/>
  <c r="B17" i="72"/>
  <c r="A18" i="72"/>
  <c r="B18" i="72"/>
  <c r="A19" i="72"/>
  <c r="B19" i="72"/>
  <c r="A20" i="72"/>
  <c r="B20" i="72"/>
  <c r="A21" i="72"/>
  <c r="B21" i="72"/>
  <c r="A22" i="72"/>
  <c r="B22" i="72"/>
  <c r="A23" i="72"/>
  <c r="B23" i="72"/>
  <c r="A24" i="72"/>
  <c r="B24" i="72"/>
  <c r="A25" i="72"/>
  <c r="B25" i="72"/>
  <c r="A26" i="72"/>
  <c r="B26" i="72"/>
  <c r="A27" i="72"/>
  <c r="B27" i="72"/>
  <c r="A28" i="72"/>
  <c r="B28" i="72"/>
  <c r="A29" i="72"/>
  <c r="B29" i="72"/>
  <c r="A30" i="72"/>
  <c r="B30" i="72"/>
  <c r="A31" i="72"/>
  <c r="B31" i="72"/>
  <c r="A32" i="72"/>
  <c r="B32" i="72"/>
  <c r="A33" i="72"/>
  <c r="B33" i="72"/>
  <c r="A34" i="72"/>
  <c r="B34" i="72"/>
  <c r="A35" i="72"/>
  <c r="B35" i="72"/>
  <c r="A36" i="72"/>
  <c r="B36" i="72"/>
  <c r="A37" i="72"/>
  <c r="B37" i="72"/>
  <c r="A38" i="72"/>
  <c r="B38" i="72"/>
  <c r="C6" i="67"/>
  <c r="C7" i="67"/>
  <c r="N7" i="67"/>
  <c r="D18" i="68"/>
  <c r="G18" i="68"/>
  <c r="C8" i="67"/>
  <c r="J8" i="67"/>
  <c r="M8" i="67"/>
  <c r="W10" i="84"/>
  <c r="K8" i="67"/>
  <c r="C9" i="67"/>
  <c r="N9" i="67"/>
  <c r="C10" i="67"/>
  <c r="J10" i="67"/>
  <c r="K10" i="67"/>
  <c r="M10" i="67"/>
  <c r="N10" i="67"/>
  <c r="D21" i="68"/>
  <c r="G21" i="68"/>
  <c r="C11" i="67"/>
  <c r="J11" i="67"/>
  <c r="K11" i="67"/>
  <c r="M11" i="67"/>
  <c r="N11" i="67"/>
  <c r="D22" i="68"/>
  <c r="G22" i="68"/>
  <c r="C12" i="67"/>
  <c r="J12" i="67"/>
  <c r="K12" i="67"/>
  <c r="M12" i="67"/>
  <c r="N12" i="67"/>
  <c r="D23" i="68"/>
  <c r="G23" i="68"/>
  <c r="C13" i="67"/>
  <c r="J13" i="67"/>
  <c r="K13" i="67"/>
  <c r="M13" i="67"/>
  <c r="N13" i="67"/>
  <c r="D24" i="68"/>
  <c r="G24" i="68"/>
  <c r="C14" i="67"/>
  <c r="J14" i="67"/>
  <c r="K14" i="67"/>
  <c r="M14" i="67"/>
  <c r="N14" i="67"/>
  <c r="D25" i="68"/>
  <c r="C15" i="67"/>
  <c r="J15" i="67"/>
  <c r="K15" i="67"/>
  <c r="M15" i="67"/>
  <c r="N15" i="67"/>
  <c r="D26" i="68"/>
  <c r="G26" i="68"/>
  <c r="C16" i="67"/>
  <c r="J16" i="67"/>
  <c r="K16" i="67"/>
  <c r="M16" i="67"/>
  <c r="N16" i="67"/>
  <c r="D27" i="68"/>
  <c r="G27" i="68"/>
  <c r="C17" i="67"/>
  <c r="J17" i="67"/>
  <c r="K17" i="67"/>
  <c r="M17" i="67"/>
  <c r="N17" i="67"/>
  <c r="D28" i="68"/>
  <c r="G28" i="68"/>
  <c r="C18" i="67"/>
  <c r="J18" i="67"/>
  <c r="K18" i="67"/>
  <c r="M18" i="67"/>
  <c r="N18" i="67"/>
  <c r="D29" i="68"/>
  <c r="G29" i="68"/>
  <c r="C19" i="67"/>
  <c r="J19" i="67"/>
  <c r="K19" i="67"/>
  <c r="M19" i="67"/>
  <c r="N19" i="67"/>
  <c r="D30" i="68"/>
  <c r="G30" i="68"/>
  <c r="C20" i="67"/>
  <c r="J20" i="67"/>
  <c r="K20" i="67"/>
  <c r="M20" i="67"/>
  <c r="N20" i="67"/>
  <c r="D31" i="68"/>
  <c r="G31" i="68"/>
  <c r="C21" i="67"/>
  <c r="J21" i="67"/>
  <c r="K21" i="67"/>
  <c r="M21" i="67"/>
  <c r="N21" i="67"/>
  <c r="D32" i="68"/>
  <c r="G32" i="68"/>
  <c r="C22" i="67"/>
  <c r="J22" i="67"/>
  <c r="K22" i="67"/>
  <c r="M22" i="67"/>
  <c r="N22" i="67"/>
  <c r="D33" i="68"/>
  <c r="G33" i="68"/>
  <c r="C23" i="67"/>
  <c r="J23" i="67"/>
  <c r="K23" i="67"/>
  <c r="M23" i="67"/>
  <c r="N23" i="67"/>
  <c r="D34" i="68"/>
  <c r="G34" i="68"/>
  <c r="C24" i="67"/>
  <c r="J24" i="67"/>
  <c r="K24" i="67"/>
  <c r="M24" i="67"/>
  <c r="N24" i="67"/>
  <c r="D35" i="68"/>
  <c r="G35" i="68"/>
  <c r="C25" i="67"/>
  <c r="J25" i="67"/>
  <c r="K25" i="67"/>
  <c r="M25" i="67"/>
  <c r="N25" i="67"/>
  <c r="C26" i="67"/>
  <c r="J26" i="67"/>
  <c r="K26" i="67"/>
  <c r="M26" i="67"/>
  <c r="N26" i="67"/>
  <c r="D37" i="68"/>
  <c r="G37" i="68"/>
  <c r="C27" i="67"/>
  <c r="J27" i="67"/>
  <c r="K27" i="67"/>
  <c r="M27" i="67"/>
  <c r="N27" i="67"/>
  <c r="D38" i="68"/>
  <c r="G38" i="68"/>
  <c r="C28" i="67"/>
  <c r="J28" i="67"/>
  <c r="K28" i="67"/>
  <c r="M28" i="67"/>
  <c r="N28" i="67"/>
  <c r="D39" i="68"/>
  <c r="G39" i="68"/>
  <c r="C29" i="67"/>
  <c r="J29" i="67"/>
  <c r="K29" i="67"/>
  <c r="M29" i="67"/>
  <c r="N29" i="67"/>
  <c r="C30" i="67"/>
  <c r="J30" i="67"/>
  <c r="K30" i="67"/>
  <c r="M30" i="67"/>
  <c r="N30" i="67"/>
  <c r="D41" i="68"/>
  <c r="G41" i="68"/>
  <c r="C31" i="67"/>
  <c r="J31" i="67"/>
  <c r="K31" i="67"/>
  <c r="M31" i="67"/>
  <c r="N31" i="67"/>
  <c r="D42" i="68"/>
  <c r="G42" i="68"/>
  <c r="C32" i="67"/>
  <c r="J32" i="67"/>
  <c r="K32" i="67"/>
  <c r="M32" i="67"/>
  <c r="N32" i="67"/>
  <c r="D43" i="68"/>
  <c r="G43" i="68"/>
  <c r="C33" i="67"/>
  <c r="J33" i="67"/>
  <c r="K33" i="67"/>
  <c r="M33" i="67"/>
  <c r="N33" i="67"/>
  <c r="D44" i="68"/>
  <c r="G44" i="68"/>
  <c r="C34" i="67"/>
  <c r="J34" i="67"/>
  <c r="K34" i="67"/>
  <c r="M34" i="67"/>
  <c r="N34" i="67"/>
  <c r="D45" i="68"/>
  <c r="G45" i="68"/>
  <c r="C35" i="67"/>
  <c r="J35" i="67"/>
  <c r="K35" i="67"/>
  <c r="M35" i="67"/>
  <c r="N35" i="67"/>
  <c r="D46" i="68"/>
  <c r="G46" i="68"/>
  <c r="C36" i="67"/>
  <c r="J36" i="67"/>
  <c r="K36" i="67"/>
  <c r="M36" i="67"/>
  <c r="N36" i="67"/>
  <c r="D47" i="68"/>
  <c r="G47" i="68"/>
  <c r="C37" i="67"/>
  <c r="J37" i="67"/>
  <c r="K37" i="67"/>
  <c r="M37" i="67"/>
  <c r="N37" i="67"/>
  <c r="D48" i="68"/>
  <c r="G48" i="68"/>
  <c r="C38" i="67"/>
  <c r="J38" i="67"/>
  <c r="K38" i="67"/>
  <c r="M38" i="67"/>
  <c r="N38" i="67"/>
  <c r="C39" i="67"/>
  <c r="J39" i="67"/>
  <c r="K39" i="67"/>
  <c r="M39" i="67"/>
  <c r="N39" i="67"/>
  <c r="D50" i="68"/>
  <c r="G50" i="68"/>
  <c r="C40" i="67"/>
  <c r="J40" i="67"/>
  <c r="K40" i="67"/>
  <c r="M40" i="67"/>
  <c r="N40" i="67"/>
  <c r="D51" i="68"/>
  <c r="G51" i="68"/>
  <c r="C41" i="67"/>
  <c r="J41" i="67"/>
  <c r="K41" i="67"/>
  <c r="M41" i="67"/>
  <c r="N41" i="67"/>
  <c r="D52" i="68"/>
  <c r="G52" i="68"/>
  <c r="D42" i="67"/>
  <c r="D43" i="67"/>
  <c r="E42" i="67"/>
  <c r="E43" i="67"/>
  <c r="F42" i="67"/>
  <c r="F43" i="67"/>
  <c r="G42" i="67"/>
  <c r="G43" i="67" s="1"/>
  <c r="H42" i="67"/>
  <c r="H43" i="67"/>
  <c r="I42" i="67"/>
  <c r="I43" i="67" s="1"/>
  <c r="L43" i="67"/>
  <c r="J1" i="68"/>
  <c r="AX45" i="68"/>
  <c r="U1" i="68"/>
  <c r="X1" i="68"/>
  <c r="E7" i="68"/>
  <c r="B17" i="68"/>
  <c r="P17" i="68"/>
  <c r="S17" i="68"/>
  <c r="U8" i="69" s="1"/>
  <c r="R17" i="68"/>
  <c r="AE55" i="68" s="1"/>
  <c r="AE56" i="68" s="1"/>
  <c r="V17" i="68"/>
  <c r="U10" i="69" s="1"/>
  <c r="U17" i="68"/>
  <c r="Y17" i="68"/>
  <c r="AB17" i="68"/>
  <c r="AA17" i="68" s="1"/>
  <c r="AW17" i="68"/>
  <c r="AY17" i="68"/>
  <c r="BA17" i="68"/>
  <c r="BC17" i="68"/>
  <c r="BD17" i="68"/>
  <c r="BF17" i="68"/>
  <c r="BG17" i="68"/>
  <c r="B18" i="68"/>
  <c r="P18" i="68"/>
  <c r="O18" i="68"/>
  <c r="S18" i="68"/>
  <c r="R18" i="68"/>
  <c r="V18" i="68"/>
  <c r="U18" i="68"/>
  <c r="Y18" i="68"/>
  <c r="X18" i="68"/>
  <c r="AB18" i="68"/>
  <c r="AA18" i="68"/>
  <c r="AW18" i="68"/>
  <c r="AY18" i="68"/>
  <c r="BA18" i="68"/>
  <c r="BC18" i="68"/>
  <c r="BD18" i="68"/>
  <c r="BF18" i="68"/>
  <c r="BG18" i="68"/>
  <c r="B19" i="68"/>
  <c r="F19" i="68"/>
  <c r="I19" i="68" s="1"/>
  <c r="H19" i="68"/>
  <c r="P19" i="68"/>
  <c r="O19" i="68"/>
  <c r="S19" i="68"/>
  <c r="R19" i="68"/>
  <c r="V19" i="68"/>
  <c r="U19" i="68"/>
  <c r="Y19" i="68"/>
  <c r="X19" i="68"/>
  <c r="AB19" i="68"/>
  <c r="AA19" i="68"/>
  <c r="AW19" i="68"/>
  <c r="AY19" i="68"/>
  <c r="BA19" i="68"/>
  <c r="BC19" i="68"/>
  <c r="BD19" i="68"/>
  <c r="BF19" i="68"/>
  <c r="BG19" i="68"/>
  <c r="B20" i="68"/>
  <c r="D20" i="68"/>
  <c r="G20" i="68"/>
  <c r="P20" i="68"/>
  <c r="O20" i="68"/>
  <c r="S20" i="68"/>
  <c r="R20" i="68"/>
  <c r="V20" i="68"/>
  <c r="U20" i="68"/>
  <c r="Y20" i="68"/>
  <c r="X20" i="68"/>
  <c r="AB20" i="68"/>
  <c r="AA20" i="68"/>
  <c r="AW20" i="68"/>
  <c r="AY20" i="68"/>
  <c r="BA20" i="68"/>
  <c r="BC20" i="68"/>
  <c r="BD20" i="68"/>
  <c r="BF20" i="68"/>
  <c r="BG20" i="68"/>
  <c r="B21" i="68"/>
  <c r="F21" i="68"/>
  <c r="I21" i="68" s="1"/>
  <c r="H21" i="68"/>
  <c r="P21" i="68"/>
  <c r="O21" i="68"/>
  <c r="S21" i="68"/>
  <c r="R21" i="68"/>
  <c r="V21" i="68"/>
  <c r="U21" i="68"/>
  <c r="Y21" i="68"/>
  <c r="X21" i="68"/>
  <c r="AB21" i="68"/>
  <c r="AA21" i="68"/>
  <c r="AW21" i="68"/>
  <c r="AY21" i="68"/>
  <c r="BA21" i="68"/>
  <c r="BC21" i="68"/>
  <c r="BD21" i="68"/>
  <c r="BF21" i="68"/>
  <c r="BG21" i="68"/>
  <c r="B22" i="68"/>
  <c r="F22" i="68"/>
  <c r="I22" i="68" s="1"/>
  <c r="H22" i="68"/>
  <c r="P22" i="68"/>
  <c r="O22" i="68"/>
  <c r="S22" i="68"/>
  <c r="R22" i="68"/>
  <c r="V22" i="68"/>
  <c r="U22" i="68"/>
  <c r="Y22" i="68"/>
  <c r="X22" i="68"/>
  <c r="AB22" i="68"/>
  <c r="AA22" i="68"/>
  <c r="AW22" i="68"/>
  <c r="AY22" i="68"/>
  <c r="BA22" i="68"/>
  <c r="BC22" i="68"/>
  <c r="BD22" i="68"/>
  <c r="BF22" i="68"/>
  <c r="BG22" i="68"/>
  <c r="B23" i="68"/>
  <c r="F23" i="68"/>
  <c r="I23" i="68" s="1"/>
  <c r="H23" i="68"/>
  <c r="P23" i="68"/>
  <c r="O23" i="68"/>
  <c r="S23" i="68"/>
  <c r="R23" i="68"/>
  <c r="V23" i="68"/>
  <c r="U23" i="68"/>
  <c r="Y23" i="68"/>
  <c r="X23" i="68"/>
  <c r="AB23" i="68"/>
  <c r="AA23" i="68"/>
  <c r="AW23" i="68"/>
  <c r="AY23" i="68"/>
  <c r="BA23" i="68"/>
  <c r="BC23" i="68"/>
  <c r="BD23" i="68"/>
  <c r="BF23" i="68"/>
  <c r="BG23" i="68"/>
  <c r="B24" i="68"/>
  <c r="F24" i="68"/>
  <c r="I24" i="68" s="1"/>
  <c r="H24" i="68"/>
  <c r="P24" i="68"/>
  <c r="O24" i="68"/>
  <c r="S24" i="68"/>
  <c r="R24" i="68"/>
  <c r="V24" i="68"/>
  <c r="U24" i="68"/>
  <c r="Y24" i="68"/>
  <c r="X24" i="68"/>
  <c r="AB24" i="68"/>
  <c r="AA24" i="68"/>
  <c r="AW24" i="68"/>
  <c r="AY24" i="68"/>
  <c r="BA24" i="68"/>
  <c r="BC24" i="68"/>
  <c r="BD24" i="68"/>
  <c r="BF24" i="68"/>
  <c r="BG24" i="68"/>
  <c r="B25" i="68"/>
  <c r="G25" i="68"/>
  <c r="F25" i="68"/>
  <c r="I25" i="68" s="1"/>
  <c r="K25" i="68" s="1"/>
  <c r="H25" i="68"/>
  <c r="P25" i="68"/>
  <c r="O25" i="68"/>
  <c r="S25" i="68"/>
  <c r="R25" i="68"/>
  <c r="V25" i="68"/>
  <c r="U25" i="68"/>
  <c r="Y25" i="68"/>
  <c r="X25" i="68"/>
  <c r="AB25" i="68"/>
  <c r="AA25" i="68"/>
  <c r="AW25" i="68"/>
  <c r="AY25" i="68"/>
  <c r="BA25" i="68"/>
  <c r="BC25" i="68"/>
  <c r="BD25" i="68"/>
  <c r="BF25" i="68"/>
  <c r="BG25" i="68"/>
  <c r="B26" i="68"/>
  <c r="F26" i="68"/>
  <c r="H26" i="68"/>
  <c r="P26" i="68"/>
  <c r="O26" i="68"/>
  <c r="S26" i="68"/>
  <c r="R26" i="68"/>
  <c r="V26" i="68"/>
  <c r="U26" i="68"/>
  <c r="Y26" i="68"/>
  <c r="X26" i="68"/>
  <c r="AB26" i="68"/>
  <c r="AA26" i="68"/>
  <c r="AW26" i="68"/>
  <c r="AY26" i="68"/>
  <c r="BA26" i="68"/>
  <c r="BC26" i="68"/>
  <c r="BD26" i="68"/>
  <c r="BF26" i="68"/>
  <c r="BG26" i="68"/>
  <c r="B27" i="68"/>
  <c r="F27" i="68"/>
  <c r="I27" i="68" s="1"/>
  <c r="J27" i="68" s="1"/>
  <c r="AR27" i="68" s="1"/>
  <c r="H27" i="68"/>
  <c r="P27" i="68"/>
  <c r="O27" i="68"/>
  <c r="S27" i="68"/>
  <c r="R27" i="68"/>
  <c r="V27" i="68"/>
  <c r="U27" i="68"/>
  <c r="Y27" i="68"/>
  <c r="X27" i="68"/>
  <c r="AB27" i="68"/>
  <c r="AA27" i="68"/>
  <c r="AW27" i="68"/>
  <c r="AY27" i="68"/>
  <c r="BA27" i="68"/>
  <c r="BC27" i="68"/>
  <c r="BD27" i="68"/>
  <c r="BF27" i="68"/>
  <c r="BG27" i="68"/>
  <c r="B28" i="68"/>
  <c r="F28" i="68"/>
  <c r="I28" i="68" s="1"/>
  <c r="J28" i="68" s="1"/>
  <c r="H28" i="68"/>
  <c r="P28" i="68"/>
  <c r="O28" i="68"/>
  <c r="S28" i="68"/>
  <c r="R28" i="68"/>
  <c r="V28" i="68"/>
  <c r="U28" i="68"/>
  <c r="Y28" i="68"/>
  <c r="X28" i="68"/>
  <c r="AB28" i="68"/>
  <c r="AA28" i="68"/>
  <c r="AW28" i="68"/>
  <c r="AY28" i="68"/>
  <c r="BA28" i="68"/>
  <c r="BC28" i="68"/>
  <c r="BD28" i="68"/>
  <c r="BF28" i="68"/>
  <c r="BG28" i="68"/>
  <c r="B29" i="68"/>
  <c r="F29" i="68"/>
  <c r="I29" i="68" s="1"/>
  <c r="H29" i="68"/>
  <c r="P29" i="68"/>
  <c r="O29" i="68"/>
  <c r="S29" i="68"/>
  <c r="R29" i="68"/>
  <c r="V29" i="68"/>
  <c r="U29" i="68"/>
  <c r="Y29" i="68"/>
  <c r="X29" i="68"/>
  <c r="AB29" i="68"/>
  <c r="AA29" i="68"/>
  <c r="AW29" i="68"/>
  <c r="AY29" i="68"/>
  <c r="BA29" i="68"/>
  <c r="BC29" i="68"/>
  <c r="BD29" i="68"/>
  <c r="BF29" i="68"/>
  <c r="BG29" i="68"/>
  <c r="B30" i="68"/>
  <c r="F30" i="68"/>
  <c r="I30" i="68" s="1"/>
  <c r="K30" i="68" s="1"/>
  <c r="Q30" i="68" s="1"/>
  <c r="H30" i="68"/>
  <c r="P30" i="68"/>
  <c r="O30" i="68"/>
  <c r="S30" i="68"/>
  <c r="R30" i="68"/>
  <c r="V30" i="68"/>
  <c r="U30" i="68"/>
  <c r="Y30" i="68"/>
  <c r="X30" i="68"/>
  <c r="AB30" i="68"/>
  <c r="AA30" i="68"/>
  <c r="AW30" i="68"/>
  <c r="AY30" i="68"/>
  <c r="BA30" i="68"/>
  <c r="BC30" i="68"/>
  <c r="BD30" i="68"/>
  <c r="BF30" i="68"/>
  <c r="BG30" i="68"/>
  <c r="B31" i="68"/>
  <c r="F31" i="68"/>
  <c r="I31" i="68" s="1"/>
  <c r="H31" i="68"/>
  <c r="P31" i="68"/>
  <c r="O31" i="68"/>
  <c r="S31" i="68"/>
  <c r="R31" i="68"/>
  <c r="V31" i="68"/>
  <c r="U31" i="68"/>
  <c r="Y31" i="68"/>
  <c r="X31" i="68"/>
  <c r="AB31" i="68"/>
  <c r="AA31" i="68"/>
  <c r="AW31" i="68"/>
  <c r="AY31" i="68"/>
  <c r="BA31" i="68"/>
  <c r="BC31" i="68"/>
  <c r="BD31" i="68"/>
  <c r="BF31" i="68"/>
  <c r="BG31" i="68"/>
  <c r="B32" i="68"/>
  <c r="F32" i="68"/>
  <c r="I32" i="68" s="1"/>
  <c r="K32" i="68" s="1"/>
  <c r="Z32" i="68" s="1"/>
  <c r="H32" i="68"/>
  <c r="P32" i="68"/>
  <c r="O32" i="68"/>
  <c r="S32" i="68"/>
  <c r="R32" i="68"/>
  <c r="V32" i="68"/>
  <c r="U32" i="68"/>
  <c r="Y32" i="68"/>
  <c r="X32" i="68"/>
  <c r="AB32" i="68"/>
  <c r="AA32" i="68"/>
  <c r="AW32" i="68"/>
  <c r="AY32" i="68"/>
  <c r="BA32" i="68"/>
  <c r="BC32" i="68"/>
  <c r="BD32" i="68"/>
  <c r="BF32" i="68"/>
  <c r="BG32" i="68"/>
  <c r="B33" i="68"/>
  <c r="F33" i="68"/>
  <c r="I33" i="68" s="1"/>
  <c r="H33" i="68"/>
  <c r="P33" i="68"/>
  <c r="O33" i="68"/>
  <c r="S33" i="68"/>
  <c r="R33" i="68"/>
  <c r="V33" i="68"/>
  <c r="U33" i="68"/>
  <c r="Y33" i="68"/>
  <c r="X33" i="68"/>
  <c r="AB33" i="68"/>
  <c r="AA33" i="68"/>
  <c r="AW33" i="68"/>
  <c r="AY33" i="68"/>
  <c r="BA33" i="68"/>
  <c r="BC33" i="68"/>
  <c r="BD33" i="68"/>
  <c r="BF33" i="68"/>
  <c r="BG33" i="68"/>
  <c r="B34" i="68"/>
  <c r="F34" i="68"/>
  <c r="I34" i="68" s="1"/>
  <c r="H34" i="68"/>
  <c r="P34" i="68"/>
  <c r="O34" i="68"/>
  <c r="S34" i="68"/>
  <c r="R34" i="68"/>
  <c r="V34" i="68"/>
  <c r="U34" i="68"/>
  <c r="Y34" i="68"/>
  <c r="X34" i="68"/>
  <c r="AB34" i="68"/>
  <c r="AA34" i="68"/>
  <c r="AW34" i="68"/>
  <c r="AY34" i="68"/>
  <c r="BA34" i="68"/>
  <c r="BC34" i="68"/>
  <c r="BD34" i="68"/>
  <c r="BF34" i="68"/>
  <c r="BG34" i="68"/>
  <c r="B35" i="68"/>
  <c r="F35" i="68"/>
  <c r="I35" i="68" s="1"/>
  <c r="H35" i="68"/>
  <c r="P35" i="68"/>
  <c r="O35" i="68"/>
  <c r="S35" i="68"/>
  <c r="R35" i="68"/>
  <c r="V35" i="68"/>
  <c r="U35" i="68"/>
  <c r="Y35" i="68"/>
  <c r="X35" i="68"/>
  <c r="AB35" i="68"/>
  <c r="AA35" i="68"/>
  <c r="AW35" i="68"/>
  <c r="AY35" i="68"/>
  <c r="BA35" i="68"/>
  <c r="BC35" i="68"/>
  <c r="BD35" i="68"/>
  <c r="BF35" i="68"/>
  <c r="BG35" i="68"/>
  <c r="B36" i="68"/>
  <c r="D36" i="68"/>
  <c r="G36" i="68"/>
  <c r="F36" i="68"/>
  <c r="I36" i="68" s="1"/>
  <c r="H36" i="68"/>
  <c r="P36" i="68"/>
  <c r="O36" i="68"/>
  <c r="S36" i="68"/>
  <c r="R36" i="68"/>
  <c r="V36" i="68"/>
  <c r="U36" i="68"/>
  <c r="Y36" i="68"/>
  <c r="X36" i="68"/>
  <c r="AB36" i="68"/>
  <c r="AA36" i="68"/>
  <c r="AW36" i="68"/>
  <c r="AY36" i="68"/>
  <c r="BA36" i="68"/>
  <c r="BC36" i="68"/>
  <c r="BD36" i="68"/>
  <c r="BF36" i="68"/>
  <c r="BG36" i="68"/>
  <c r="B37" i="68"/>
  <c r="F37" i="68"/>
  <c r="I37" i="68" s="1"/>
  <c r="H37" i="68"/>
  <c r="P37" i="68"/>
  <c r="O37" i="68"/>
  <c r="S37" i="68"/>
  <c r="R37" i="68"/>
  <c r="V37" i="68"/>
  <c r="U37" i="68"/>
  <c r="Y37" i="68"/>
  <c r="X37" i="68"/>
  <c r="AB37" i="68"/>
  <c r="AA37" i="68"/>
  <c r="AW37" i="68"/>
  <c r="AY37" i="68"/>
  <c r="BA37" i="68"/>
  <c r="BC37" i="68"/>
  <c r="BD37" i="68"/>
  <c r="BF37" i="68"/>
  <c r="BG37" i="68"/>
  <c r="B38" i="68"/>
  <c r="F38" i="68"/>
  <c r="I38" i="68" s="1"/>
  <c r="J38" i="68" s="1"/>
  <c r="AK38" i="68" s="1"/>
  <c r="H38" i="68"/>
  <c r="P38" i="68"/>
  <c r="O38" i="68"/>
  <c r="S38" i="68"/>
  <c r="R38" i="68"/>
  <c r="V38" i="68"/>
  <c r="U38" i="68"/>
  <c r="Y38" i="68"/>
  <c r="X38" i="68"/>
  <c r="AB38" i="68"/>
  <c r="AA38" i="68"/>
  <c r="AW38" i="68"/>
  <c r="AY38" i="68"/>
  <c r="BA38" i="68"/>
  <c r="BC38" i="68"/>
  <c r="BD38" i="68"/>
  <c r="BF38" i="68"/>
  <c r="BG38" i="68"/>
  <c r="B39" i="68"/>
  <c r="F39" i="68"/>
  <c r="I39" i="68" s="1"/>
  <c r="H39" i="68"/>
  <c r="P39" i="68"/>
  <c r="O39" i="68"/>
  <c r="S39" i="68"/>
  <c r="R39" i="68"/>
  <c r="V39" i="68"/>
  <c r="U39" i="68"/>
  <c r="Y39" i="68"/>
  <c r="X39" i="68"/>
  <c r="AB39" i="68"/>
  <c r="AA39" i="68"/>
  <c r="AW39" i="68"/>
  <c r="AY39" i="68"/>
  <c r="BA39" i="68"/>
  <c r="BC39" i="68"/>
  <c r="BD39" i="68"/>
  <c r="BF39" i="68"/>
  <c r="BG39" i="68"/>
  <c r="B40" i="68"/>
  <c r="D40" i="68"/>
  <c r="G40" i="68"/>
  <c r="F40" i="68"/>
  <c r="I40" i="68" s="1"/>
  <c r="H40" i="68"/>
  <c r="P40" i="68"/>
  <c r="O40" i="68"/>
  <c r="S40" i="68"/>
  <c r="R40" i="68"/>
  <c r="V40" i="68"/>
  <c r="U40" i="68"/>
  <c r="Y40" i="68"/>
  <c r="X40" i="68"/>
  <c r="AB40" i="68"/>
  <c r="AA40" i="68"/>
  <c r="AW40" i="68"/>
  <c r="AY40" i="68"/>
  <c r="BA40" i="68"/>
  <c r="BC40" i="68"/>
  <c r="BD40" i="68"/>
  <c r="BF40" i="68"/>
  <c r="BG40" i="68"/>
  <c r="B41" i="68"/>
  <c r="F41" i="68"/>
  <c r="I41" i="68" s="1"/>
  <c r="H41" i="68"/>
  <c r="P41" i="68"/>
  <c r="O41" i="68"/>
  <c r="S41" i="68"/>
  <c r="R41" i="68"/>
  <c r="V41" i="68"/>
  <c r="U41" i="68"/>
  <c r="Y41" i="68"/>
  <c r="X41" i="68"/>
  <c r="AB41" i="68"/>
  <c r="AA41" i="68"/>
  <c r="AW41" i="68"/>
  <c r="AY41" i="68"/>
  <c r="BA41" i="68"/>
  <c r="BC41" i="68"/>
  <c r="BD41" i="68"/>
  <c r="BF41" i="68"/>
  <c r="BG41" i="68"/>
  <c r="B42" i="68"/>
  <c r="F42" i="68"/>
  <c r="I42" i="68" s="1"/>
  <c r="J42" i="68" s="1"/>
  <c r="AQ42" i="68" s="1"/>
  <c r="H42" i="68"/>
  <c r="P42" i="68"/>
  <c r="O42" i="68"/>
  <c r="S42" i="68"/>
  <c r="R42" i="68"/>
  <c r="V42" i="68"/>
  <c r="U42" i="68"/>
  <c r="Y42" i="68"/>
  <c r="X42" i="68"/>
  <c r="AB42" i="68"/>
  <c r="AA42" i="68"/>
  <c r="AW42" i="68"/>
  <c r="AX42" i="68"/>
  <c r="AY42" i="68"/>
  <c r="BA42" i="68"/>
  <c r="BC42" i="68"/>
  <c r="BD42" i="68"/>
  <c r="BF42" i="68"/>
  <c r="BG42" i="68"/>
  <c r="B43" i="68"/>
  <c r="F43" i="68"/>
  <c r="I43" i="68" s="1"/>
  <c r="H43" i="68"/>
  <c r="P43" i="68"/>
  <c r="O43" i="68"/>
  <c r="S43" i="68"/>
  <c r="R43" i="68"/>
  <c r="V43" i="68"/>
  <c r="U43" i="68"/>
  <c r="Y43" i="68"/>
  <c r="X43" i="68"/>
  <c r="AB43" i="68"/>
  <c r="AA43" i="68"/>
  <c r="AW43" i="68"/>
  <c r="AX43" i="68"/>
  <c r="AY43" i="68"/>
  <c r="BA43" i="68"/>
  <c r="BC43" i="68"/>
  <c r="BD43" i="68"/>
  <c r="BF43" i="68"/>
  <c r="BG43" i="68"/>
  <c r="B44" i="68"/>
  <c r="F44" i="68"/>
  <c r="H44" i="68"/>
  <c r="P44" i="68"/>
  <c r="O44" i="68"/>
  <c r="S44" i="68"/>
  <c r="R44" i="68"/>
  <c r="V44" i="68"/>
  <c r="U44" i="68"/>
  <c r="Y44" i="68"/>
  <c r="X44" i="68"/>
  <c r="AB44" i="68"/>
  <c r="AA44" i="68"/>
  <c r="AW44" i="68"/>
  <c r="AX44" i="68"/>
  <c r="AY44" i="68"/>
  <c r="BA44" i="68"/>
  <c r="BC44" i="68"/>
  <c r="BD44" i="68"/>
  <c r="BF44" i="68"/>
  <c r="BG44" i="68"/>
  <c r="B45" i="68"/>
  <c r="F45" i="68"/>
  <c r="I45" i="68"/>
  <c r="K45" i="68" s="1"/>
  <c r="Z45" i="68" s="1"/>
  <c r="H45" i="68"/>
  <c r="P45" i="68"/>
  <c r="O45" i="68"/>
  <c r="S45" i="68"/>
  <c r="R45" i="68"/>
  <c r="V45" i="68"/>
  <c r="U45" i="68"/>
  <c r="Y45" i="68"/>
  <c r="X45" i="68"/>
  <c r="AB45" i="68"/>
  <c r="AA45" i="68"/>
  <c r="AW45" i="68"/>
  <c r="AY45" i="68"/>
  <c r="BA45" i="68"/>
  <c r="BC45" i="68"/>
  <c r="BD45" i="68"/>
  <c r="BF45" i="68"/>
  <c r="BG45" i="68"/>
  <c r="B46" i="68"/>
  <c r="F46" i="68"/>
  <c r="I46" i="68" s="1"/>
  <c r="H46" i="68"/>
  <c r="P46" i="68"/>
  <c r="O46" i="68"/>
  <c r="S46" i="68"/>
  <c r="R46" i="68"/>
  <c r="V46" i="68"/>
  <c r="U46" i="68"/>
  <c r="Y46" i="68"/>
  <c r="X46" i="68"/>
  <c r="AB46" i="68"/>
  <c r="AA46" i="68"/>
  <c r="AW46" i="68"/>
  <c r="AX46" i="68"/>
  <c r="AY46" i="68"/>
  <c r="BA46" i="68"/>
  <c r="BC46" i="68"/>
  <c r="BD46" i="68"/>
  <c r="BF46" i="68"/>
  <c r="BG46" i="68"/>
  <c r="B47" i="68"/>
  <c r="F47" i="68"/>
  <c r="I47" i="68" s="1"/>
  <c r="H47" i="68"/>
  <c r="P47" i="68"/>
  <c r="O47" i="68"/>
  <c r="S47" i="68"/>
  <c r="R47" i="68"/>
  <c r="V47" i="68"/>
  <c r="U47" i="68"/>
  <c r="Y47" i="68"/>
  <c r="X47" i="68"/>
  <c r="AB47" i="68"/>
  <c r="AA47" i="68"/>
  <c r="AW47" i="68"/>
  <c r="AX47" i="68"/>
  <c r="AY47" i="68"/>
  <c r="BA47" i="68"/>
  <c r="BC47" i="68"/>
  <c r="BD47" i="68"/>
  <c r="BF47" i="68"/>
  <c r="BG47" i="68"/>
  <c r="B48" i="68"/>
  <c r="F48" i="68"/>
  <c r="I48" i="68" s="1"/>
  <c r="J48" i="68" s="1"/>
  <c r="AE48" i="68" s="1"/>
  <c r="H48" i="68"/>
  <c r="P48" i="68"/>
  <c r="O48" i="68"/>
  <c r="S48" i="68"/>
  <c r="R48" i="68"/>
  <c r="V48" i="68"/>
  <c r="U48" i="68"/>
  <c r="Y48" i="68"/>
  <c r="X48" i="68"/>
  <c r="AB48" i="68"/>
  <c r="AA48" i="68"/>
  <c r="AW48" i="68"/>
  <c r="AY48" i="68"/>
  <c r="BA48" i="68"/>
  <c r="BC48" i="68"/>
  <c r="BD48" i="68"/>
  <c r="BF48" i="68"/>
  <c r="BG48" i="68"/>
  <c r="B49" i="68"/>
  <c r="D49" i="68"/>
  <c r="G49" i="68"/>
  <c r="F49" i="68"/>
  <c r="I49" i="68" s="1"/>
  <c r="K49" i="68" s="1"/>
  <c r="T49" i="68" s="1"/>
  <c r="H49" i="68"/>
  <c r="P49" i="68"/>
  <c r="O49" i="68"/>
  <c r="S49" i="68"/>
  <c r="R49" i="68"/>
  <c r="V49" i="68"/>
  <c r="U49" i="68"/>
  <c r="Y49" i="68"/>
  <c r="X49" i="68"/>
  <c r="AB49" i="68"/>
  <c r="AA49" i="68"/>
  <c r="AW49" i="68"/>
  <c r="AY49" i="68"/>
  <c r="BA49" i="68"/>
  <c r="BC49" i="68"/>
  <c r="BD49" i="68"/>
  <c r="BF49" i="68"/>
  <c r="BG49" i="68"/>
  <c r="B50" i="68"/>
  <c r="F50" i="68"/>
  <c r="I50" i="68" s="1"/>
  <c r="H50" i="68"/>
  <c r="P50" i="68"/>
  <c r="O50" i="68"/>
  <c r="S50" i="68"/>
  <c r="R50" i="68"/>
  <c r="V50" i="68"/>
  <c r="U50" i="68"/>
  <c r="Y50" i="68"/>
  <c r="X50" i="68"/>
  <c r="AB50" i="68"/>
  <c r="AA50" i="68"/>
  <c r="AW50" i="68"/>
  <c r="AY50" i="68"/>
  <c r="BA50" i="68"/>
  <c r="BC50" i="68"/>
  <c r="BD50" i="68"/>
  <c r="BD53" i="68"/>
  <c r="BB53" i="68"/>
  <c r="BF50" i="68"/>
  <c r="BG50" i="68"/>
  <c r="B51" i="68"/>
  <c r="F51" i="68"/>
  <c r="I51" i="68" s="1"/>
  <c r="H51" i="68"/>
  <c r="P51" i="68"/>
  <c r="O51" i="68"/>
  <c r="S51" i="68"/>
  <c r="R51" i="68"/>
  <c r="V51" i="68"/>
  <c r="U51" i="68"/>
  <c r="Y51" i="68"/>
  <c r="X51" i="68"/>
  <c r="AB51" i="68"/>
  <c r="AA51" i="68"/>
  <c r="AW51" i="68"/>
  <c r="AY51" i="68"/>
  <c r="BA51" i="68"/>
  <c r="BC51" i="68"/>
  <c r="BD51" i="68"/>
  <c r="BF51" i="68"/>
  <c r="BG51" i="68"/>
  <c r="B52" i="68"/>
  <c r="F52" i="68"/>
  <c r="I52" i="68" s="1"/>
  <c r="J52" i="68" s="1"/>
  <c r="AG52" i="68" s="1"/>
  <c r="H52" i="68"/>
  <c r="P52" i="68"/>
  <c r="O52" i="68"/>
  <c r="S52" i="68"/>
  <c r="R52" i="68"/>
  <c r="V52" i="68"/>
  <c r="U52" i="68"/>
  <c r="Y52" i="68"/>
  <c r="X52" i="68"/>
  <c r="AB52" i="68"/>
  <c r="AA52" i="68"/>
  <c r="AW52" i="68"/>
  <c r="AY52" i="68"/>
  <c r="BA52" i="68"/>
  <c r="BC52" i="68"/>
  <c r="BD52" i="68"/>
  <c r="BF52" i="68"/>
  <c r="BG52" i="68"/>
  <c r="L54" i="68"/>
  <c r="AY53" i="68"/>
  <c r="AZ54" i="68"/>
  <c r="M54" i="68"/>
  <c r="BB54" i="68"/>
  <c r="BE54" i="68"/>
  <c r="J56" i="68"/>
  <c r="J57" i="68"/>
  <c r="AX60" i="68"/>
  <c r="K63" i="68"/>
  <c r="L63" i="68"/>
  <c r="M63" i="68"/>
  <c r="N63" i="68"/>
  <c r="O63" i="68"/>
  <c r="K64" i="68"/>
  <c r="L64" i="68"/>
  <c r="M64" i="68"/>
  <c r="N64" i="68"/>
  <c r="O64" i="68"/>
  <c r="B2" i="69"/>
  <c r="A3" i="69"/>
  <c r="B3" i="69"/>
  <c r="A4" i="69"/>
  <c r="B4" i="69"/>
  <c r="A5" i="69"/>
  <c r="B5" i="69"/>
  <c r="A6" i="69"/>
  <c r="B6" i="69"/>
  <c r="U6" i="69"/>
  <c r="A7" i="69"/>
  <c r="B7" i="69"/>
  <c r="A8" i="69"/>
  <c r="B8" i="69"/>
  <c r="A9" i="69"/>
  <c r="B9" i="69"/>
  <c r="A10" i="69"/>
  <c r="B10" i="69"/>
  <c r="A11" i="69"/>
  <c r="B11" i="69"/>
  <c r="A12" i="69"/>
  <c r="B12" i="69"/>
  <c r="A13" i="69"/>
  <c r="B13" i="69"/>
  <c r="A14" i="69"/>
  <c r="B14" i="69"/>
  <c r="A15" i="69"/>
  <c r="B15" i="69"/>
  <c r="A16" i="69"/>
  <c r="B16" i="69"/>
  <c r="V16" i="69"/>
  <c r="A17" i="69"/>
  <c r="B17" i="69"/>
  <c r="A18" i="69"/>
  <c r="B18" i="69"/>
  <c r="A19" i="69"/>
  <c r="B19" i="69"/>
  <c r="A20" i="69"/>
  <c r="B20" i="69"/>
  <c r="A21" i="69"/>
  <c r="B21" i="69"/>
  <c r="A22" i="69"/>
  <c r="B22" i="69"/>
  <c r="A23" i="69"/>
  <c r="B23" i="69"/>
  <c r="A24" i="69"/>
  <c r="B24" i="69"/>
  <c r="A25" i="69"/>
  <c r="B25" i="69"/>
  <c r="A26" i="69"/>
  <c r="B26" i="69"/>
  <c r="A27" i="69"/>
  <c r="B27" i="69"/>
  <c r="A28" i="69"/>
  <c r="B28" i="69"/>
  <c r="A29" i="69"/>
  <c r="B29" i="69"/>
  <c r="A30" i="69"/>
  <c r="B30" i="69"/>
  <c r="A31" i="69"/>
  <c r="B31" i="69"/>
  <c r="A32" i="69"/>
  <c r="B32" i="69"/>
  <c r="A33" i="69"/>
  <c r="B33" i="69"/>
  <c r="A34" i="69"/>
  <c r="B34" i="69"/>
  <c r="A35" i="69"/>
  <c r="B35" i="69"/>
  <c r="A36" i="69"/>
  <c r="B36" i="69"/>
  <c r="A37" i="69"/>
  <c r="B37" i="69"/>
  <c r="A38" i="69"/>
  <c r="B38" i="69"/>
  <c r="C6" i="64"/>
  <c r="C7" i="64"/>
  <c r="C8" i="64"/>
  <c r="J8" i="64"/>
  <c r="K8" i="64"/>
  <c r="C9" i="64"/>
  <c r="C10" i="64"/>
  <c r="J10" i="64"/>
  <c r="K10" i="64"/>
  <c r="M10" i="64"/>
  <c r="N10" i="64"/>
  <c r="D21" i="65"/>
  <c r="G21" i="65"/>
  <c r="C11" i="64"/>
  <c r="J11" i="64"/>
  <c r="K11" i="64"/>
  <c r="M11" i="64"/>
  <c r="N11" i="64"/>
  <c r="D22" i="65"/>
  <c r="C12" i="64"/>
  <c r="J12" i="64"/>
  <c r="K12" i="64"/>
  <c r="M12" i="64"/>
  <c r="N12" i="64"/>
  <c r="D23" i="65"/>
  <c r="G23" i="65"/>
  <c r="C13" i="64"/>
  <c r="J13" i="64"/>
  <c r="K13" i="64"/>
  <c r="M13" i="64"/>
  <c r="N13" i="64"/>
  <c r="D24" i="65"/>
  <c r="G24" i="65"/>
  <c r="C14" i="64"/>
  <c r="J14" i="64"/>
  <c r="K14" i="64"/>
  <c r="M14" i="64"/>
  <c r="N14" i="64"/>
  <c r="D25" i="65"/>
  <c r="G25" i="65"/>
  <c r="C15" i="64"/>
  <c r="J15" i="64"/>
  <c r="K15" i="64"/>
  <c r="M15" i="64"/>
  <c r="N15" i="64"/>
  <c r="D26" i="65"/>
  <c r="G26" i="65"/>
  <c r="C16" i="64"/>
  <c r="J16" i="64"/>
  <c r="K16" i="64"/>
  <c r="M16" i="64"/>
  <c r="N16" i="64"/>
  <c r="D27" i="65"/>
  <c r="G27" i="65"/>
  <c r="C17" i="64"/>
  <c r="J17" i="64"/>
  <c r="K17" i="64"/>
  <c r="M17" i="64"/>
  <c r="N17" i="64"/>
  <c r="D28" i="65"/>
  <c r="G28" i="65"/>
  <c r="C18" i="64"/>
  <c r="J18" i="64"/>
  <c r="K18" i="64"/>
  <c r="M18" i="64"/>
  <c r="N18" i="64"/>
  <c r="D29" i="65"/>
  <c r="G29" i="65"/>
  <c r="C19" i="64"/>
  <c r="J19" i="64"/>
  <c r="K19" i="64"/>
  <c r="M19" i="64"/>
  <c r="N19" i="64"/>
  <c r="D30" i="65"/>
  <c r="G30" i="65"/>
  <c r="C20" i="64"/>
  <c r="J20" i="64"/>
  <c r="K20" i="64"/>
  <c r="M20" i="64"/>
  <c r="N20" i="64"/>
  <c r="D31" i="65"/>
  <c r="G31" i="65"/>
  <c r="C21" i="64"/>
  <c r="J21" i="64"/>
  <c r="K21" i="64"/>
  <c r="M21" i="64"/>
  <c r="N21" i="64"/>
  <c r="D32" i="65"/>
  <c r="G32" i="65"/>
  <c r="C22" i="64"/>
  <c r="J22" i="64"/>
  <c r="K22" i="64"/>
  <c r="M22" i="64"/>
  <c r="N22" i="64"/>
  <c r="D33" i="65"/>
  <c r="C23" i="64"/>
  <c r="J23" i="64"/>
  <c r="K23" i="64"/>
  <c r="K42" i="64"/>
  <c r="C24" i="64"/>
  <c r="J24" i="64"/>
  <c r="K24" i="64"/>
  <c r="M24" i="64"/>
  <c r="N24" i="64"/>
  <c r="D35" i="65"/>
  <c r="G35" i="65"/>
  <c r="C25" i="64"/>
  <c r="J25" i="64"/>
  <c r="K25" i="64"/>
  <c r="M25" i="64"/>
  <c r="N25" i="64"/>
  <c r="D36" i="65"/>
  <c r="G36" i="65"/>
  <c r="C26" i="64"/>
  <c r="J26" i="64"/>
  <c r="K26" i="64"/>
  <c r="M26" i="64"/>
  <c r="N26" i="64"/>
  <c r="D37" i="65"/>
  <c r="G37" i="65"/>
  <c r="C27" i="64"/>
  <c r="J27" i="64"/>
  <c r="K27" i="64"/>
  <c r="M27" i="64"/>
  <c r="N27" i="64"/>
  <c r="D38" i="65"/>
  <c r="G38" i="65"/>
  <c r="C28" i="64"/>
  <c r="J28" i="64"/>
  <c r="K28" i="64"/>
  <c r="M28" i="64"/>
  <c r="N28" i="64"/>
  <c r="D39" i="65"/>
  <c r="G39" i="65"/>
  <c r="C29" i="64"/>
  <c r="J29" i="64"/>
  <c r="K29" i="64"/>
  <c r="M29" i="64"/>
  <c r="N29" i="64"/>
  <c r="D40" i="65"/>
  <c r="G40" i="65"/>
  <c r="C30" i="64"/>
  <c r="J30" i="64"/>
  <c r="K30" i="64"/>
  <c r="M30" i="64"/>
  <c r="N30" i="64"/>
  <c r="D41" i="65"/>
  <c r="G41" i="65"/>
  <c r="C31" i="64"/>
  <c r="J31" i="64"/>
  <c r="K31" i="64"/>
  <c r="M31" i="64"/>
  <c r="N31" i="64"/>
  <c r="D42" i="65"/>
  <c r="G42" i="65"/>
  <c r="C32" i="64"/>
  <c r="J32" i="64"/>
  <c r="K32" i="64"/>
  <c r="M32" i="64"/>
  <c r="N32" i="64"/>
  <c r="D43" i="65"/>
  <c r="C33" i="64"/>
  <c r="J33" i="64"/>
  <c r="K33" i="64"/>
  <c r="M33" i="64"/>
  <c r="N33" i="64"/>
  <c r="D44" i="65"/>
  <c r="G44" i="65"/>
  <c r="C34" i="64"/>
  <c r="J34" i="64"/>
  <c r="K34" i="64"/>
  <c r="M34" i="64"/>
  <c r="N34" i="64"/>
  <c r="D45" i="65"/>
  <c r="G45" i="65"/>
  <c r="C35" i="64"/>
  <c r="J35" i="64"/>
  <c r="K35" i="64"/>
  <c r="M35" i="64"/>
  <c r="N35" i="64"/>
  <c r="D46" i="65"/>
  <c r="G46" i="65"/>
  <c r="C36" i="64"/>
  <c r="J36" i="64"/>
  <c r="K36" i="64"/>
  <c r="M36" i="64"/>
  <c r="N36" i="64"/>
  <c r="D47" i="65"/>
  <c r="G47" i="65"/>
  <c r="C37" i="64"/>
  <c r="J37" i="64"/>
  <c r="K37" i="64"/>
  <c r="M37" i="64"/>
  <c r="N37" i="64"/>
  <c r="D48" i="65"/>
  <c r="G48" i="65"/>
  <c r="C38" i="64"/>
  <c r="J38" i="64"/>
  <c r="K38" i="64"/>
  <c r="M38" i="64"/>
  <c r="N38" i="64"/>
  <c r="D49" i="65"/>
  <c r="G49" i="65"/>
  <c r="C39" i="64"/>
  <c r="J39" i="64"/>
  <c r="K39" i="64"/>
  <c r="M39" i="64"/>
  <c r="N39" i="64"/>
  <c r="D50" i="65"/>
  <c r="G50" i="65"/>
  <c r="C40" i="64"/>
  <c r="J40" i="64"/>
  <c r="K40" i="64"/>
  <c r="M40" i="64"/>
  <c r="N40" i="64"/>
  <c r="D51" i="65"/>
  <c r="G51" i="65"/>
  <c r="C41" i="64"/>
  <c r="J41" i="64"/>
  <c r="K41" i="64"/>
  <c r="M41" i="64"/>
  <c r="N41" i="64"/>
  <c r="D52" i="65"/>
  <c r="G52" i="65"/>
  <c r="D42" i="64"/>
  <c r="D43" i="64"/>
  <c r="E42" i="64"/>
  <c r="E43" i="64"/>
  <c r="F42" i="64"/>
  <c r="F43" i="64"/>
  <c r="G42" i="64"/>
  <c r="G43" i="64"/>
  <c r="H42" i="64"/>
  <c r="I42" i="64"/>
  <c r="H43" i="64"/>
  <c r="I43" i="64"/>
  <c r="L43" i="64"/>
  <c r="J1" i="65"/>
  <c r="E7" i="65"/>
  <c r="B17" i="65"/>
  <c r="P17" i="65"/>
  <c r="O17" i="65"/>
  <c r="S17" i="65"/>
  <c r="R17" i="65"/>
  <c r="V17" i="65"/>
  <c r="Y17" i="65"/>
  <c r="U12" i="66"/>
  <c r="AB17" i="65"/>
  <c r="AA17" i="65"/>
  <c r="AW17" i="65"/>
  <c r="AY17" i="65"/>
  <c r="BA17" i="65"/>
  <c r="BC17" i="65"/>
  <c r="BD17" i="65"/>
  <c r="BF17" i="65"/>
  <c r="BG17" i="65"/>
  <c r="B18" i="65"/>
  <c r="P18" i="65"/>
  <c r="U6" i="66"/>
  <c r="O18" i="65"/>
  <c r="S18" i="65"/>
  <c r="V18" i="65"/>
  <c r="U18" i="65"/>
  <c r="Y18" i="65"/>
  <c r="X18" i="65"/>
  <c r="AB18" i="65"/>
  <c r="AW18" i="65"/>
  <c r="AY18" i="65"/>
  <c r="BA18" i="65"/>
  <c r="BC18" i="65"/>
  <c r="BD18" i="65"/>
  <c r="BF18" i="65"/>
  <c r="BG18" i="65"/>
  <c r="B19" i="65"/>
  <c r="F19" i="65"/>
  <c r="I19" i="65" s="1"/>
  <c r="K19" i="65" s="1"/>
  <c r="Q19" i="65" s="1"/>
  <c r="H19" i="65"/>
  <c r="P19" i="65"/>
  <c r="O19" i="65"/>
  <c r="S19" i="65"/>
  <c r="R19" i="65"/>
  <c r="V19" i="65"/>
  <c r="U19" i="65"/>
  <c r="Y19" i="65"/>
  <c r="X19" i="65"/>
  <c r="AB19" i="65"/>
  <c r="AA19" i="65"/>
  <c r="AW19" i="65"/>
  <c r="AY19" i="65"/>
  <c r="BA19" i="65"/>
  <c r="BC19" i="65"/>
  <c r="BD19" i="65"/>
  <c r="BF19" i="65"/>
  <c r="BG19" i="65"/>
  <c r="B20" i="65"/>
  <c r="P20" i="65"/>
  <c r="O20" i="65"/>
  <c r="S20" i="65"/>
  <c r="R20" i="65"/>
  <c r="V20" i="65"/>
  <c r="U20" i="65"/>
  <c r="Y20" i="65"/>
  <c r="X20" i="65"/>
  <c r="AB20" i="65"/>
  <c r="AA20" i="65"/>
  <c r="AW20" i="65"/>
  <c r="AY20" i="65"/>
  <c r="BA20" i="65"/>
  <c r="BC20" i="65"/>
  <c r="BD20" i="65"/>
  <c r="BF20" i="65"/>
  <c r="BG20" i="65"/>
  <c r="B21" i="65"/>
  <c r="F21" i="65"/>
  <c r="I21" i="65" s="1"/>
  <c r="K21" i="65" s="1"/>
  <c r="H21" i="65"/>
  <c r="P21" i="65"/>
  <c r="O21" i="65"/>
  <c r="S21" i="65"/>
  <c r="R21" i="65"/>
  <c r="V21" i="65"/>
  <c r="U21" i="65"/>
  <c r="Y21" i="65"/>
  <c r="X21" i="65"/>
  <c r="AB21" i="65"/>
  <c r="AA21" i="65"/>
  <c r="AW21" i="65"/>
  <c r="AY21" i="65"/>
  <c r="BA21" i="65"/>
  <c r="BC21" i="65"/>
  <c r="BD21" i="65"/>
  <c r="BF21" i="65"/>
  <c r="BG21" i="65"/>
  <c r="B22" i="65"/>
  <c r="G22" i="65"/>
  <c r="F22" i="65"/>
  <c r="I22" i="65" s="1"/>
  <c r="H22" i="65"/>
  <c r="P22" i="65"/>
  <c r="O22" i="65"/>
  <c r="S22" i="65"/>
  <c r="R22" i="65"/>
  <c r="V22" i="65"/>
  <c r="U22" i="65"/>
  <c r="Y22" i="65"/>
  <c r="X22" i="65"/>
  <c r="AB22" i="65"/>
  <c r="AA22" i="65"/>
  <c r="AW22" i="65"/>
  <c r="AY22" i="65"/>
  <c r="BA22" i="65"/>
  <c r="BC22" i="65"/>
  <c r="BD22" i="65"/>
  <c r="BF22" i="65"/>
  <c r="BG22" i="65"/>
  <c r="B23" i="65"/>
  <c r="F23" i="65"/>
  <c r="I23" i="65" s="1"/>
  <c r="J23" i="65" s="1"/>
  <c r="H23" i="65"/>
  <c r="P23" i="65"/>
  <c r="O23" i="65"/>
  <c r="S23" i="65"/>
  <c r="R23" i="65"/>
  <c r="V23" i="65"/>
  <c r="U23" i="65"/>
  <c r="Y23" i="65"/>
  <c r="X23" i="65"/>
  <c r="AB23" i="65"/>
  <c r="AA23" i="65"/>
  <c r="AW23" i="65"/>
  <c r="AY23" i="65"/>
  <c r="BA23" i="65"/>
  <c r="BC23" i="65"/>
  <c r="BD23" i="65"/>
  <c r="BF23" i="65"/>
  <c r="BG23" i="65"/>
  <c r="B24" i="65"/>
  <c r="F24" i="65"/>
  <c r="I24" i="65" s="1"/>
  <c r="H24" i="65"/>
  <c r="P24" i="65"/>
  <c r="O24" i="65"/>
  <c r="S24" i="65"/>
  <c r="R24" i="65"/>
  <c r="V24" i="65"/>
  <c r="U24" i="65"/>
  <c r="Y24" i="65"/>
  <c r="X24" i="65"/>
  <c r="AB24" i="65"/>
  <c r="AA24" i="65"/>
  <c r="AW24" i="65"/>
  <c r="AW54" i="65"/>
  <c r="AW53" i="65"/>
  <c r="P60" i="65"/>
  <c r="AY24" i="65"/>
  <c r="BA24" i="65"/>
  <c r="BC24" i="65"/>
  <c r="BD24" i="65"/>
  <c r="BF24" i="65"/>
  <c r="BG24" i="65"/>
  <c r="B25" i="65"/>
  <c r="F25" i="65"/>
  <c r="I25" i="65" s="1"/>
  <c r="H25" i="65"/>
  <c r="P25" i="65"/>
  <c r="O25" i="65"/>
  <c r="S25" i="65"/>
  <c r="R25" i="65"/>
  <c r="V25" i="65"/>
  <c r="U25" i="65"/>
  <c r="Y25" i="65"/>
  <c r="X25" i="65"/>
  <c r="AB25" i="65"/>
  <c r="AA25" i="65"/>
  <c r="AW25" i="65"/>
  <c r="AY25" i="65"/>
  <c r="BA25" i="65"/>
  <c r="BC25" i="65"/>
  <c r="BD25" i="65"/>
  <c r="BF25" i="65"/>
  <c r="BG25" i="65"/>
  <c r="B26" i="65"/>
  <c r="F26" i="65"/>
  <c r="I26" i="65" s="1"/>
  <c r="H26" i="65"/>
  <c r="P26" i="65"/>
  <c r="O26" i="65"/>
  <c r="S26" i="65"/>
  <c r="R26" i="65"/>
  <c r="V26" i="65"/>
  <c r="U26" i="65"/>
  <c r="Y26" i="65"/>
  <c r="X26" i="65"/>
  <c r="AB26" i="65"/>
  <c r="AA26" i="65"/>
  <c r="AW26" i="65"/>
  <c r="AY26" i="65"/>
  <c r="BA26" i="65"/>
  <c r="BC26" i="65"/>
  <c r="BD26" i="65"/>
  <c r="BF26" i="65"/>
  <c r="BG26" i="65"/>
  <c r="B27" i="65"/>
  <c r="F27" i="65"/>
  <c r="I27" i="65"/>
  <c r="H27" i="65"/>
  <c r="P27" i="65"/>
  <c r="O27" i="65"/>
  <c r="S27" i="65"/>
  <c r="R27" i="65"/>
  <c r="V27" i="65"/>
  <c r="U27" i="65"/>
  <c r="Y27" i="65"/>
  <c r="X27" i="65"/>
  <c r="AB27" i="65"/>
  <c r="AA27" i="65"/>
  <c r="AW27" i="65"/>
  <c r="AY27" i="65"/>
  <c r="BA27" i="65"/>
  <c r="BC27" i="65"/>
  <c r="BD27" i="65"/>
  <c r="BF27" i="65"/>
  <c r="BG27" i="65"/>
  <c r="B28" i="65"/>
  <c r="F28" i="65"/>
  <c r="I28" i="65" s="1"/>
  <c r="J28" i="65" s="1"/>
  <c r="H28" i="65"/>
  <c r="P28" i="65"/>
  <c r="O28" i="65"/>
  <c r="S28" i="65"/>
  <c r="R28" i="65"/>
  <c r="V28" i="65"/>
  <c r="U28" i="65"/>
  <c r="Y28" i="65"/>
  <c r="X28" i="65"/>
  <c r="AB28" i="65"/>
  <c r="AA28" i="65"/>
  <c r="AW28" i="65"/>
  <c r="AY28" i="65"/>
  <c r="BA28" i="65"/>
  <c r="BC28" i="65"/>
  <c r="BD28" i="65"/>
  <c r="BF28" i="65"/>
  <c r="BG28" i="65"/>
  <c r="B29" i="65"/>
  <c r="F29" i="65"/>
  <c r="I29" i="65" s="1"/>
  <c r="H29" i="65"/>
  <c r="P29" i="65"/>
  <c r="O29" i="65"/>
  <c r="S29" i="65"/>
  <c r="R29" i="65"/>
  <c r="V29" i="65"/>
  <c r="U29" i="65"/>
  <c r="Y29" i="65"/>
  <c r="X29" i="65"/>
  <c r="AB29" i="65"/>
  <c r="AA29" i="65"/>
  <c r="AW29" i="65"/>
  <c r="AY29" i="65"/>
  <c r="BA29" i="65"/>
  <c r="BC29" i="65"/>
  <c r="BD29" i="65"/>
  <c r="BF29" i="65"/>
  <c r="BG29" i="65"/>
  <c r="B30" i="65"/>
  <c r="F30" i="65"/>
  <c r="I30" i="65" s="1"/>
  <c r="J30" i="65" s="1"/>
  <c r="H30" i="65"/>
  <c r="P30" i="65"/>
  <c r="O30" i="65"/>
  <c r="S30" i="65"/>
  <c r="R30" i="65"/>
  <c r="V30" i="65"/>
  <c r="U30" i="65"/>
  <c r="Y30" i="65"/>
  <c r="X30" i="65"/>
  <c r="AB30" i="65"/>
  <c r="AA30" i="65"/>
  <c r="AW30" i="65"/>
  <c r="AY30" i="65"/>
  <c r="BA30" i="65"/>
  <c r="BC30" i="65"/>
  <c r="BD30" i="65"/>
  <c r="BF30" i="65"/>
  <c r="BG30" i="65"/>
  <c r="B31" i="65"/>
  <c r="F31" i="65"/>
  <c r="I31" i="65" s="1"/>
  <c r="H31" i="65"/>
  <c r="P31" i="65"/>
  <c r="O31" i="65"/>
  <c r="S31" i="65"/>
  <c r="R31" i="65"/>
  <c r="V31" i="65"/>
  <c r="U31" i="65"/>
  <c r="Y31" i="65"/>
  <c r="X31" i="65"/>
  <c r="AB31" i="65"/>
  <c r="AA31" i="65"/>
  <c r="AW31" i="65"/>
  <c r="AY31" i="65"/>
  <c r="BA31" i="65"/>
  <c r="BC31" i="65"/>
  <c r="BD31" i="65"/>
  <c r="BF31" i="65"/>
  <c r="BG31" i="65"/>
  <c r="B32" i="65"/>
  <c r="F32" i="65"/>
  <c r="I32" i="65" s="1"/>
  <c r="J32" i="65" s="1"/>
  <c r="H32" i="65"/>
  <c r="P32" i="65"/>
  <c r="O32" i="65"/>
  <c r="S32" i="65"/>
  <c r="R32" i="65"/>
  <c r="V32" i="65"/>
  <c r="U32" i="65"/>
  <c r="Y32" i="65"/>
  <c r="X32" i="65"/>
  <c r="AB32" i="65"/>
  <c r="AA32" i="65"/>
  <c r="AW32" i="65"/>
  <c r="AY32" i="65"/>
  <c r="BA32" i="65"/>
  <c r="BC32" i="65"/>
  <c r="BD32" i="65"/>
  <c r="BF32" i="65"/>
  <c r="BG32" i="65"/>
  <c r="B33" i="65"/>
  <c r="F33" i="65"/>
  <c r="I33" i="65"/>
  <c r="J33" i="65" s="1"/>
  <c r="G33" i="65"/>
  <c r="H33" i="65"/>
  <c r="P33" i="65"/>
  <c r="O33" i="65"/>
  <c r="S33" i="65"/>
  <c r="R33" i="65"/>
  <c r="V33" i="65"/>
  <c r="U33" i="65"/>
  <c r="Y33" i="65"/>
  <c r="X33" i="65"/>
  <c r="AB33" i="65"/>
  <c r="AA33" i="65"/>
  <c r="AW33" i="65"/>
  <c r="AY33" i="65"/>
  <c r="BA33" i="65"/>
  <c r="BC33" i="65"/>
  <c r="BD33" i="65"/>
  <c r="BF33" i="65"/>
  <c r="BG33" i="65"/>
  <c r="B34" i="65"/>
  <c r="F34" i="65"/>
  <c r="I34" i="65" s="1"/>
  <c r="H34" i="65"/>
  <c r="P34" i="65"/>
  <c r="O34" i="65"/>
  <c r="S34" i="65"/>
  <c r="R34" i="65"/>
  <c r="V34" i="65"/>
  <c r="U34" i="65"/>
  <c r="Y34" i="65"/>
  <c r="X34" i="65"/>
  <c r="AB34" i="65"/>
  <c r="AA34" i="65"/>
  <c r="AW34" i="65"/>
  <c r="AY34" i="65"/>
  <c r="BA34" i="65"/>
  <c r="BC34" i="65"/>
  <c r="BD34" i="65"/>
  <c r="BF34" i="65"/>
  <c r="BG34" i="65"/>
  <c r="B35" i="65"/>
  <c r="F35" i="65"/>
  <c r="I35" i="65" s="1"/>
  <c r="H35" i="65"/>
  <c r="P35" i="65"/>
  <c r="O35" i="65"/>
  <c r="S35" i="65"/>
  <c r="R35" i="65"/>
  <c r="V35" i="65"/>
  <c r="U35" i="65"/>
  <c r="Y35" i="65"/>
  <c r="X35" i="65"/>
  <c r="AB35" i="65"/>
  <c r="AA35" i="65"/>
  <c r="AW35" i="65"/>
  <c r="AY35" i="65"/>
  <c r="BA35" i="65"/>
  <c r="BC35" i="65"/>
  <c r="BD35" i="65"/>
  <c r="BF35" i="65"/>
  <c r="BG35" i="65"/>
  <c r="B36" i="65"/>
  <c r="F36" i="65"/>
  <c r="I36" i="65" s="1"/>
  <c r="K36" i="65" s="1"/>
  <c r="H36" i="65"/>
  <c r="P36" i="65"/>
  <c r="O36" i="65"/>
  <c r="S36" i="65"/>
  <c r="R36" i="65"/>
  <c r="V36" i="65"/>
  <c r="U36" i="65"/>
  <c r="Y36" i="65"/>
  <c r="X36" i="65"/>
  <c r="AB36" i="65"/>
  <c r="AA36" i="65"/>
  <c r="AW36" i="65"/>
  <c r="AY36" i="65"/>
  <c r="BA36" i="65"/>
  <c r="BC36" i="65"/>
  <c r="BD36" i="65"/>
  <c r="BF36" i="65"/>
  <c r="BG36" i="65"/>
  <c r="B37" i="65"/>
  <c r="F37" i="65"/>
  <c r="I37" i="65" s="1"/>
  <c r="K37" i="65" s="1"/>
  <c r="H37" i="65"/>
  <c r="P37" i="65"/>
  <c r="O37" i="65"/>
  <c r="S37" i="65"/>
  <c r="R37" i="65"/>
  <c r="V37" i="65"/>
  <c r="U37" i="65"/>
  <c r="Y37" i="65"/>
  <c r="X37" i="65"/>
  <c r="AB37" i="65"/>
  <c r="AA37" i="65"/>
  <c r="AW37" i="65"/>
  <c r="AY37" i="65"/>
  <c r="BA37" i="65"/>
  <c r="BC37" i="65"/>
  <c r="BD37" i="65"/>
  <c r="BF37" i="65"/>
  <c r="BG37" i="65"/>
  <c r="B38" i="65"/>
  <c r="F38" i="65"/>
  <c r="I38" i="65" s="1"/>
  <c r="K38" i="65" s="1"/>
  <c r="H38" i="65"/>
  <c r="P38" i="65"/>
  <c r="O38" i="65"/>
  <c r="S38" i="65"/>
  <c r="R38" i="65"/>
  <c r="V38" i="65"/>
  <c r="U38" i="65"/>
  <c r="Y38" i="65"/>
  <c r="X38" i="65"/>
  <c r="AB38" i="65"/>
  <c r="AA38" i="65"/>
  <c r="AW38" i="65"/>
  <c r="AY38" i="65"/>
  <c r="BA38" i="65"/>
  <c r="BC38" i="65"/>
  <c r="BD38" i="65"/>
  <c r="BF38" i="65"/>
  <c r="BG38" i="65"/>
  <c r="B39" i="65"/>
  <c r="F39" i="65"/>
  <c r="I39" i="65" s="1"/>
  <c r="H39" i="65"/>
  <c r="P39" i="65"/>
  <c r="O39" i="65"/>
  <c r="S39" i="65"/>
  <c r="R39" i="65"/>
  <c r="V39" i="65"/>
  <c r="U39" i="65"/>
  <c r="Y39" i="65"/>
  <c r="X39" i="65"/>
  <c r="AB39" i="65"/>
  <c r="AA39" i="65"/>
  <c r="AW39" i="65"/>
  <c r="AY39" i="65"/>
  <c r="BA39" i="65"/>
  <c r="BC39" i="65"/>
  <c r="BD39" i="65"/>
  <c r="BF39" i="65"/>
  <c r="BG39" i="65"/>
  <c r="B40" i="65"/>
  <c r="F40" i="65"/>
  <c r="I40" i="65" s="1"/>
  <c r="J40" i="65" s="1"/>
  <c r="AD40" i="65" s="1"/>
  <c r="H40" i="65"/>
  <c r="P40" i="65"/>
  <c r="O40" i="65"/>
  <c r="S40" i="65"/>
  <c r="R40" i="65"/>
  <c r="V40" i="65"/>
  <c r="U40" i="65"/>
  <c r="Y40" i="65"/>
  <c r="X40" i="65"/>
  <c r="AB40" i="65"/>
  <c r="AA40" i="65"/>
  <c r="AW40" i="65"/>
  <c r="AY40" i="65"/>
  <c r="BA40" i="65"/>
  <c r="BC40" i="65"/>
  <c r="BD40" i="65"/>
  <c r="BF40" i="65"/>
  <c r="BG40" i="65"/>
  <c r="B41" i="65"/>
  <c r="F41" i="65"/>
  <c r="I41" i="65" s="1"/>
  <c r="J41" i="65" s="1"/>
  <c r="H41" i="65"/>
  <c r="P41" i="65"/>
  <c r="O41" i="65"/>
  <c r="S41" i="65"/>
  <c r="R41" i="65"/>
  <c r="V41" i="65"/>
  <c r="U41" i="65"/>
  <c r="Y41" i="65"/>
  <c r="X41" i="65"/>
  <c r="AB41" i="65"/>
  <c r="AA41" i="65"/>
  <c r="AW41" i="65"/>
  <c r="AY41" i="65"/>
  <c r="BA41" i="65"/>
  <c r="BC41" i="65"/>
  <c r="BD41" i="65"/>
  <c r="BF41" i="65"/>
  <c r="BG41" i="65"/>
  <c r="B42" i="65"/>
  <c r="F42" i="65"/>
  <c r="I42" i="65" s="1"/>
  <c r="H42" i="65"/>
  <c r="P42" i="65"/>
  <c r="O42" i="65"/>
  <c r="S42" i="65"/>
  <c r="R42" i="65"/>
  <c r="V42" i="65"/>
  <c r="U42" i="65"/>
  <c r="Y42" i="65"/>
  <c r="X42" i="65"/>
  <c r="AB42" i="65"/>
  <c r="AA42" i="65"/>
  <c r="AW42" i="65"/>
  <c r="AY42" i="65"/>
  <c r="BA42" i="65"/>
  <c r="BC42" i="65"/>
  <c r="BD42" i="65"/>
  <c r="BF42" i="65"/>
  <c r="BG42" i="65"/>
  <c r="B43" i="65"/>
  <c r="G43" i="65"/>
  <c r="F43" i="65"/>
  <c r="I43" i="65" s="1"/>
  <c r="J43" i="65" s="1"/>
  <c r="AM43" i="65" s="1"/>
  <c r="H43" i="65"/>
  <c r="P43" i="65"/>
  <c r="O43" i="65"/>
  <c r="S43" i="65"/>
  <c r="R43" i="65"/>
  <c r="V43" i="65"/>
  <c r="U43" i="65"/>
  <c r="Y43" i="65"/>
  <c r="X43" i="65"/>
  <c r="AB43" i="65"/>
  <c r="AA43" i="65"/>
  <c r="AW43" i="65"/>
  <c r="AY43" i="65"/>
  <c r="BA43" i="65"/>
  <c r="BC43" i="65"/>
  <c r="BD43" i="65"/>
  <c r="BF43" i="65"/>
  <c r="BG43" i="65"/>
  <c r="B44" i="65"/>
  <c r="F44" i="65"/>
  <c r="I44" i="65"/>
  <c r="K44" i="65" s="1"/>
  <c r="AC44" i="65" s="1"/>
  <c r="H44" i="65"/>
  <c r="P44" i="65"/>
  <c r="O44" i="65"/>
  <c r="S44" i="65"/>
  <c r="R44" i="65"/>
  <c r="V44" i="65"/>
  <c r="U44" i="65"/>
  <c r="Y44" i="65"/>
  <c r="X44" i="65"/>
  <c r="AB44" i="65"/>
  <c r="AA44" i="65"/>
  <c r="AW44" i="65"/>
  <c r="AY44" i="65"/>
  <c r="BA44" i="65"/>
  <c r="BC44" i="65"/>
  <c r="BD44" i="65"/>
  <c r="BF44" i="65"/>
  <c r="BG44" i="65"/>
  <c r="B45" i="65"/>
  <c r="F45" i="65"/>
  <c r="I45" i="65" s="1"/>
  <c r="H45" i="65"/>
  <c r="P45" i="65"/>
  <c r="O45" i="65"/>
  <c r="S45" i="65"/>
  <c r="R45" i="65"/>
  <c r="V45" i="65"/>
  <c r="U45" i="65"/>
  <c r="Y45" i="65"/>
  <c r="X45" i="65"/>
  <c r="AB45" i="65"/>
  <c r="AA45" i="65"/>
  <c r="AW45" i="65"/>
  <c r="AY45" i="65"/>
  <c r="BA45" i="65"/>
  <c r="BC45" i="65"/>
  <c r="BD45" i="65"/>
  <c r="BF45" i="65"/>
  <c r="BG45" i="65"/>
  <c r="B46" i="65"/>
  <c r="F46" i="65"/>
  <c r="I46" i="65" s="1"/>
  <c r="H46" i="65"/>
  <c r="P46" i="65"/>
  <c r="O46" i="65"/>
  <c r="S46" i="65"/>
  <c r="R46" i="65"/>
  <c r="V46" i="65"/>
  <c r="U46" i="65"/>
  <c r="Y46" i="65"/>
  <c r="X46" i="65"/>
  <c r="AB46" i="65"/>
  <c r="AA46" i="65"/>
  <c r="AW46" i="65"/>
  <c r="AX46" i="65"/>
  <c r="AY46" i="65"/>
  <c r="BA46" i="65"/>
  <c r="BC46" i="65"/>
  <c r="BD46" i="65"/>
  <c r="BF46" i="65"/>
  <c r="BG46" i="65"/>
  <c r="B47" i="65"/>
  <c r="F47" i="65"/>
  <c r="I47" i="65" s="1"/>
  <c r="H47" i="65"/>
  <c r="P47" i="65"/>
  <c r="O47" i="65"/>
  <c r="S47" i="65"/>
  <c r="R47" i="65"/>
  <c r="V47" i="65"/>
  <c r="U47" i="65"/>
  <c r="Y47" i="65"/>
  <c r="X47" i="65"/>
  <c r="AB47" i="65"/>
  <c r="AA47" i="65"/>
  <c r="AW47" i="65"/>
  <c r="AY47" i="65"/>
  <c r="BA47" i="65"/>
  <c r="BC47" i="65"/>
  <c r="BD47" i="65"/>
  <c r="BF47" i="65"/>
  <c r="BG47" i="65"/>
  <c r="B48" i="65"/>
  <c r="F48" i="65"/>
  <c r="I48" i="65" s="1"/>
  <c r="H48" i="65"/>
  <c r="P48" i="65"/>
  <c r="O48" i="65"/>
  <c r="S48" i="65"/>
  <c r="R48" i="65"/>
  <c r="V48" i="65"/>
  <c r="U48" i="65"/>
  <c r="Y48" i="65"/>
  <c r="X48" i="65"/>
  <c r="AB48" i="65"/>
  <c r="AA48" i="65"/>
  <c r="AW48" i="65"/>
  <c r="AY48" i="65"/>
  <c r="BA48" i="65"/>
  <c r="BC48" i="65"/>
  <c r="BD48" i="65"/>
  <c r="BF48" i="65"/>
  <c r="BG48" i="65"/>
  <c r="B49" i="65"/>
  <c r="F49" i="65"/>
  <c r="H49" i="65"/>
  <c r="P49" i="65"/>
  <c r="O49" i="65"/>
  <c r="S49" i="65"/>
  <c r="R49" i="65"/>
  <c r="V49" i="65"/>
  <c r="U49" i="65"/>
  <c r="Y49" i="65"/>
  <c r="X49" i="65"/>
  <c r="AB49" i="65"/>
  <c r="AA49" i="65"/>
  <c r="AW49" i="65"/>
  <c r="AY49" i="65"/>
  <c r="BA49" i="65"/>
  <c r="BC49" i="65"/>
  <c r="BD49" i="65"/>
  <c r="BF49" i="65"/>
  <c r="BG49" i="65"/>
  <c r="B50" i="65"/>
  <c r="F50" i="65"/>
  <c r="I50" i="65"/>
  <c r="H50" i="65"/>
  <c r="P50" i="65"/>
  <c r="O50" i="65"/>
  <c r="S50" i="65"/>
  <c r="R50" i="65"/>
  <c r="V50" i="65"/>
  <c r="U50" i="65"/>
  <c r="Y50" i="65"/>
  <c r="X50" i="65"/>
  <c r="AB50" i="65"/>
  <c r="AA50" i="65"/>
  <c r="AW50" i="65"/>
  <c r="AY50" i="65"/>
  <c r="BA50" i="65"/>
  <c r="BC50" i="65"/>
  <c r="BD50" i="65"/>
  <c r="BF50" i="65"/>
  <c r="BG50" i="65"/>
  <c r="B51" i="65"/>
  <c r="F51" i="65"/>
  <c r="I51" i="65" s="1"/>
  <c r="J51" i="65" s="1"/>
  <c r="H51" i="65"/>
  <c r="P51" i="65"/>
  <c r="O51" i="65"/>
  <c r="S51" i="65"/>
  <c r="R51" i="65"/>
  <c r="V51" i="65"/>
  <c r="U51" i="65"/>
  <c r="Y51" i="65"/>
  <c r="X51" i="65"/>
  <c r="AB51" i="65"/>
  <c r="AA51" i="65"/>
  <c r="AW51" i="65"/>
  <c r="AY51" i="65"/>
  <c r="BA51" i="65"/>
  <c r="BC51" i="65"/>
  <c r="BD51" i="65"/>
  <c r="BF51" i="65"/>
  <c r="BG51" i="65"/>
  <c r="B52" i="65"/>
  <c r="F52" i="65"/>
  <c r="I52" i="65" s="1"/>
  <c r="K52" i="65" s="1"/>
  <c r="W52" i="65" s="1"/>
  <c r="H52" i="65"/>
  <c r="P52" i="65"/>
  <c r="O52" i="65"/>
  <c r="S52" i="65"/>
  <c r="R52" i="65"/>
  <c r="V52" i="65"/>
  <c r="U52" i="65"/>
  <c r="Y52" i="65"/>
  <c r="X52" i="65"/>
  <c r="AB52" i="65"/>
  <c r="AA52" i="65"/>
  <c r="AW52" i="65"/>
  <c r="AY52" i="65"/>
  <c r="BA52" i="65"/>
  <c r="BC52" i="65"/>
  <c r="BD52" i="65"/>
  <c r="BF52" i="65"/>
  <c r="BG52" i="65"/>
  <c r="L54" i="65"/>
  <c r="AY53" i="65"/>
  <c r="AZ54" i="65"/>
  <c r="M54" i="65"/>
  <c r="BB54" i="65"/>
  <c r="BE54" i="65"/>
  <c r="J57" i="65"/>
  <c r="AX60" i="65"/>
  <c r="K63" i="65"/>
  <c r="L63" i="65"/>
  <c r="M63" i="65"/>
  <c r="N63" i="65"/>
  <c r="O63" i="65"/>
  <c r="K64" i="65"/>
  <c r="L64" i="65"/>
  <c r="M64" i="65"/>
  <c r="N64" i="65"/>
  <c r="O64" i="65"/>
  <c r="B2" i="66"/>
  <c r="A3" i="66"/>
  <c r="B3" i="66"/>
  <c r="A4" i="66"/>
  <c r="B4" i="66"/>
  <c r="A5" i="66"/>
  <c r="B5" i="66"/>
  <c r="A6" i="66"/>
  <c r="B6" i="66"/>
  <c r="A7" i="66"/>
  <c r="B7" i="66"/>
  <c r="A8" i="66"/>
  <c r="B8" i="66"/>
  <c r="A9" i="66"/>
  <c r="B9" i="66"/>
  <c r="A10" i="66"/>
  <c r="B10" i="66"/>
  <c r="A11" i="66"/>
  <c r="B11" i="66"/>
  <c r="A12" i="66"/>
  <c r="B12" i="66"/>
  <c r="A13" i="66"/>
  <c r="B13" i="66"/>
  <c r="A14" i="66"/>
  <c r="B14" i="66"/>
  <c r="U14" i="66"/>
  <c r="A15" i="66"/>
  <c r="B15" i="66"/>
  <c r="A16" i="66"/>
  <c r="B16" i="66"/>
  <c r="V16" i="66"/>
  <c r="A17" i="66"/>
  <c r="B17" i="66"/>
  <c r="A18" i="66"/>
  <c r="B18" i="66"/>
  <c r="A19" i="66"/>
  <c r="B19" i="66"/>
  <c r="A20" i="66"/>
  <c r="B20" i="66"/>
  <c r="A21" i="66"/>
  <c r="B21" i="66"/>
  <c r="A22" i="66"/>
  <c r="B22" i="66"/>
  <c r="A23" i="66"/>
  <c r="B23" i="66"/>
  <c r="A24" i="66"/>
  <c r="B24" i="66"/>
  <c r="A25" i="66"/>
  <c r="B25" i="66"/>
  <c r="A26" i="66"/>
  <c r="B26" i="66"/>
  <c r="A27" i="66"/>
  <c r="B27" i="66"/>
  <c r="A28" i="66"/>
  <c r="B28" i="66"/>
  <c r="A29" i="66"/>
  <c r="B29" i="66"/>
  <c r="A30" i="66"/>
  <c r="B30" i="66"/>
  <c r="A31" i="66"/>
  <c r="B31" i="66"/>
  <c r="A32" i="66"/>
  <c r="B32" i="66"/>
  <c r="A33" i="66"/>
  <c r="B33" i="66"/>
  <c r="A34" i="66"/>
  <c r="B34" i="66"/>
  <c r="A35" i="66"/>
  <c r="B35" i="66"/>
  <c r="A36" i="66"/>
  <c r="B36" i="66"/>
  <c r="A37" i="66"/>
  <c r="B37" i="66"/>
  <c r="A38" i="66"/>
  <c r="B38" i="66"/>
  <c r="C6" i="61"/>
  <c r="N6" i="61"/>
  <c r="D17" i="62"/>
  <c r="G17" i="62"/>
  <c r="C7" i="61"/>
  <c r="N7" i="61"/>
  <c r="D18" i="62"/>
  <c r="G18" i="62"/>
  <c r="C8" i="61"/>
  <c r="J8" i="61"/>
  <c r="K8" i="61"/>
  <c r="M8" i="61"/>
  <c r="C9" i="61"/>
  <c r="N9" i="61"/>
  <c r="C10" i="61"/>
  <c r="J10" i="61"/>
  <c r="K10" i="61"/>
  <c r="M10" i="61"/>
  <c r="N10" i="61"/>
  <c r="D21" i="62"/>
  <c r="G21" i="62"/>
  <c r="C11" i="61"/>
  <c r="J11" i="61"/>
  <c r="K11" i="61"/>
  <c r="C12" i="61"/>
  <c r="J12" i="61"/>
  <c r="K12" i="61"/>
  <c r="M12" i="61"/>
  <c r="N12" i="61"/>
  <c r="D23" i="62"/>
  <c r="G23" i="62"/>
  <c r="C13" i="61"/>
  <c r="J13" i="61"/>
  <c r="K13" i="61"/>
  <c r="M13" i="61"/>
  <c r="N13" i="61"/>
  <c r="D24" i="62"/>
  <c r="G24" i="62"/>
  <c r="C14" i="61"/>
  <c r="J14" i="61"/>
  <c r="K14" i="61"/>
  <c r="M14" i="61"/>
  <c r="N14" i="61"/>
  <c r="D25" i="62"/>
  <c r="G25" i="62"/>
  <c r="C15" i="61"/>
  <c r="J15" i="61"/>
  <c r="K15" i="61"/>
  <c r="M15" i="61"/>
  <c r="N15" i="61"/>
  <c r="D26" i="62"/>
  <c r="G26" i="62"/>
  <c r="C16" i="61"/>
  <c r="J16" i="61"/>
  <c r="K16" i="61"/>
  <c r="M16" i="61"/>
  <c r="N16" i="61"/>
  <c r="D27" i="62"/>
  <c r="G27" i="62"/>
  <c r="C17" i="61"/>
  <c r="J17" i="61"/>
  <c r="K17" i="61"/>
  <c r="M17" i="61"/>
  <c r="N17" i="61"/>
  <c r="D28" i="62"/>
  <c r="G28" i="62"/>
  <c r="C18" i="61"/>
  <c r="J18" i="61"/>
  <c r="K18" i="61"/>
  <c r="M18" i="61"/>
  <c r="N18" i="61"/>
  <c r="D29" i="62"/>
  <c r="G29" i="62"/>
  <c r="C19" i="61"/>
  <c r="J19" i="61"/>
  <c r="K19" i="61"/>
  <c r="M19" i="61"/>
  <c r="N19" i="61"/>
  <c r="D30" i="62"/>
  <c r="G30" i="62"/>
  <c r="C20" i="61"/>
  <c r="J20" i="61"/>
  <c r="K20" i="61"/>
  <c r="M20" i="61"/>
  <c r="N20" i="61"/>
  <c r="D31" i="62"/>
  <c r="G31" i="62"/>
  <c r="C21" i="61"/>
  <c r="J21" i="61"/>
  <c r="K21" i="61"/>
  <c r="M21" i="61"/>
  <c r="N21" i="61"/>
  <c r="D32" i="62"/>
  <c r="G32" i="62"/>
  <c r="C22" i="61"/>
  <c r="J22" i="61"/>
  <c r="K22" i="61"/>
  <c r="M22" i="61"/>
  <c r="N22" i="61"/>
  <c r="D33" i="62"/>
  <c r="G33" i="62"/>
  <c r="C23" i="61"/>
  <c r="J23" i="61"/>
  <c r="K23" i="61"/>
  <c r="M23" i="61"/>
  <c r="N23" i="61"/>
  <c r="D34" i="62"/>
  <c r="G34" i="62"/>
  <c r="C24" i="61"/>
  <c r="J24" i="61"/>
  <c r="K24" i="61"/>
  <c r="M24" i="61"/>
  <c r="N24" i="61"/>
  <c r="D35" i="62"/>
  <c r="G35" i="62"/>
  <c r="C25" i="61"/>
  <c r="J25" i="61"/>
  <c r="K25" i="61"/>
  <c r="C26" i="61"/>
  <c r="J26" i="61"/>
  <c r="K26" i="61"/>
  <c r="M26" i="61"/>
  <c r="N26" i="61"/>
  <c r="D37" i="62"/>
  <c r="G37" i="62"/>
  <c r="C27" i="61"/>
  <c r="J27" i="61"/>
  <c r="K27" i="61"/>
  <c r="M27" i="61"/>
  <c r="N27" i="61"/>
  <c r="D38" i="62"/>
  <c r="G38" i="62"/>
  <c r="C28" i="61"/>
  <c r="J28" i="61"/>
  <c r="K28" i="61"/>
  <c r="M28" i="61"/>
  <c r="N28" i="61"/>
  <c r="D39" i="62"/>
  <c r="G39" i="62"/>
  <c r="C29" i="61"/>
  <c r="J29" i="61"/>
  <c r="K29" i="61"/>
  <c r="M29" i="61"/>
  <c r="N29" i="61"/>
  <c r="D40" i="62"/>
  <c r="G40" i="62"/>
  <c r="C30" i="61"/>
  <c r="J30" i="61"/>
  <c r="K30" i="61"/>
  <c r="M30" i="61"/>
  <c r="N30" i="61"/>
  <c r="C31" i="61"/>
  <c r="J31" i="61"/>
  <c r="K31" i="61"/>
  <c r="M31" i="61"/>
  <c r="N31" i="61"/>
  <c r="D42" i="62"/>
  <c r="G42" i="62"/>
  <c r="C32" i="61"/>
  <c r="J32" i="61"/>
  <c r="K32" i="61"/>
  <c r="M32" i="61"/>
  <c r="N32" i="61"/>
  <c r="D43" i="62"/>
  <c r="G43" i="62"/>
  <c r="C33" i="61"/>
  <c r="J33" i="61"/>
  <c r="K33" i="61"/>
  <c r="M33" i="61"/>
  <c r="N33" i="61"/>
  <c r="D44" i="62"/>
  <c r="G44" i="62"/>
  <c r="C34" i="61"/>
  <c r="J34" i="61"/>
  <c r="K34" i="61"/>
  <c r="M34" i="61"/>
  <c r="N34" i="61"/>
  <c r="D45" i="62"/>
  <c r="G45" i="62"/>
  <c r="C35" i="61"/>
  <c r="J35" i="61"/>
  <c r="K35" i="61"/>
  <c r="M35" i="61"/>
  <c r="N35" i="61"/>
  <c r="D46" i="62"/>
  <c r="G46" i="62"/>
  <c r="C36" i="61"/>
  <c r="J36" i="61"/>
  <c r="K36" i="61"/>
  <c r="M36" i="61"/>
  <c r="N36" i="61"/>
  <c r="D47" i="62"/>
  <c r="G47" i="62"/>
  <c r="C37" i="61"/>
  <c r="J37" i="61"/>
  <c r="K37" i="61"/>
  <c r="M37" i="61"/>
  <c r="N37" i="61"/>
  <c r="C38" i="61"/>
  <c r="J38" i="61"/>
  <c r="K38" i="61"/>
  <c r="M38" i="61"/>
  <c r="N38" i="61"/>
  <c r="D49" i="62"/>
  <c r="G49" i="62"/>
  <c r="C39" i="61"/>
  <c r="J39" i="61"/>
  <c r="K39" i="61"/>
  <c r="M39" i="61"/>
  <c r="N39" i="61"/>
  <c r="D50" i="62"/>
  <c r="G50" i="62"/>
  <c r="C40" i="61"/>
  <c r="J40" i="61"/>
  <c r="K40" i="61"/>
  <c r="M40" i="61"/>
  <c r="N40" i="61"/>
  <c r="D51" i="62"/>
  <c r="G51" i="62"/>
  <c r="C41" i="61"/>
  <c r="J41" i="61"/>
  <c r="K41" i="61"/>
  <c r="M41" i="61"/>
  <c r="N41" i="61"/>
  <c r="D52" i="62"/>
  <c r="G52" i="62"/>
  <c r="D42" i="61"/>
  <c r="D43" i="61"/>
  <c r="E42" i="61"/>
  <c r="E43" i="61"/>
  <c r="F42" i="61"/>
  <c r="F43" i="61"/>
  <c r="G42" i="61"/>
  <c r="G43" i="61"/>
  <c r="H42" i="61"/>
  <c r="H43" i="61"/>
  <c r="I42" i="61"/>
  <c r="I43" i="61"/>
  <c r="L43" i="61"/>
  <c r="J1" i="62"/>
  <c r="AD1" i="62"/>
  <c r="X2" i="62"/>
  <c r="X1" i="62"/>
  <c r="AA1" i="62"/>
  <c r="E7" i="62"/>
  <c r="B17" i="62"/>
  <c r="P17" i="62"/>
  <c r="S17" i="62"/>
  <c r="R17" i="62"/>
  <c r="V17" i="62"/>
  <c r="U17" i="62"/>
  <c r="Y17" i="62"/>
  <c r="X17" i="62"/>
  <c r="AG55" i="62"/>
  <c r="AG56" i="62"/>
  <c r="AB17" i="62"/>
  <c r="AA17" i="62"/>
  <c r="AW17" i="62"/>
  <c r="AY17" i="62"/>
  <c r="BA17" i="62"/>
  <c r="BC17" i="62"/>
  <c r="BD17" i="62"/>
  <c r="BD53" i="62"/>
  <c r="BB53" i="62"/>
  <c r="AT60" i="62"/>
  <c r="BF17" i="62"/>
  <c r="BG17" i="62"/>
  <c r="B18" i="62"/>
  <c r="P18" i="62"/>
  <c r="S18" i="62"/>
  <c r="R18" i="62"/>
  <c r="V18" i="62"/>
  <c r="U18" i="62"/>
  <c r="Y18" i="62"/>
  <c r="X18" i="62"/>
  <c r="T12" i="63"/>
  <c r="U12" i="63"/>
  <c r="AB18" i="62"/>
  <c r="AA18" i="62"/>
  <c r="T14" i="63"/>
  <c r="AW18" i="62"/>
  <c r="AY18" i="62"/>
  <c r="BA18" i="62"/>
  <c r="BC18" i="62"/>
  <c r="BD18" i="62"/>
  <c r="BF18" i="62"/>
  <c r="BG18" i="62"/>
  <c r="B19" i="62"/>
  <c r="H19" i="62"/>
  <c r="P19" i="62"/>
  <c r="O19" i="62"/>
  <c r="S19" i="62"/>
  <c r="R19" i="62"/>
  <c r="V19" i="62"/>
  <c r="U19" i="62"/>
  <c r="Y19" i="62"/>
  <c r="X19" i="62"/>
  <c r="AB19" i="62"/>
  <c r="AA19" i="62"/>
  <c r="AW19" i="62"/>
  <c r="AY19" i="62"/>
  <c r="BA19" i="62"/>
  <c r="BC19" i="62"/>
  <c r="BD19" i="62"/>
  <c r="BF19" i="62"/>
  <c r="BG19" i="62"/>
  <c r="B20" i="62"/>
  <c r="D20" i="62"/>
  <c r="G20" i="62"/>
  <c r="P20" i="62"/>
  <c r="O20" i="62"/>
  <c r="S20" i="62"/>
  <c r="R20" i="62"/>
  <c r="V20" i="62"/>
  <c r="U20" i="62"/>
  <c r="Y20" i="62"/>
  <c r="X20" i="62"/>
  <c r="AB20" i="62"/>
  <c r="AA20" i="62"/>
  <c r="AW20" i="62"/>
  <c r="AY20" i="62"/>
  <c r="BA20" i="62"/>
  <c r="BC20" i="62"/>
  <c r="BD20" i="62"/>
  <c r="BF20" i="62"/>
  <c r="BG20" i="62"/>
  <c r="BG53" i="62"/>
  <c r="BE53" i="62"/>
  <c r="B21" i="62"/>
  <c r="F21" i="62"/>
  <c r="I21" i="62" s="1"/>
  <c r="H21" i="62"/>
  <c r="P21" i="62"/>
  <c r="O21" i="62"/>
  <c r="S21" i="62"/>
  <c r="R21" i="62"/>
  <c r="V21" i="62"/>
  <c r="U21" i="62"/>
  <c r="Y21" i="62"/>
  <c r="X21" i="62"/>
  <c r="AB21" i="62"/>
  <c r="AA21" i="62"/>
  <c r="AW21" i="62"/>
  <c r="AY21" i="62"/>
  <c r="BA21" i="62"/>
  <c r="BC21" i="62"/>
  <c r="BD21" i="62"/>
  <c r="BF21" i="62"/>
  <c r="BG21" i="62"/>
  <c r="B22" i="62"/>
  <c r="F22" i="62"/>
  <c r="I22" i="62" s="1"/>
  <c r="J22" i="62" s="1"/>
  <c r="AF22" i="62" s="1"/>
  <c r="H22" i="62"/>
  <c r="P22" i="62"/>
  <c r="O22" i="62"/>
  <c r="S22" i="62"/>
  <c r="R22" i="62"/>
  <c r="V22" i="62"/>
  <c r="U22" i="62"/>
  <c r="Y22" i="62"/>
  <c r="X22" i="62"/>
  <c r="AB22" i="62"/>
  <c r="AA22" i="62"/>
  <c r="AW22" i="62"/>
  <c r="AY22" i="62"/>
  <c r="BA22" i="62"/>
  <c r="BC22" i="62"/>
  <c r="BD22" i="62"/>
  <c r="BF22" i="62"/>
  <c r="BG22" i="62"/>
  <c r="B23" i="62"/>
  <c r="F23" i="62"/>
  <c r="H23" i="62"/>
  <c r="I23" i="62"/>
  <c r="P23" i="62"/>
  <c r="O23" i="62"/>
  <c r="S23" i="62"/>
  <c r="R23" i="62"/>
  <c r="V23" i="62"/>
  <c r="U23" i="62"/>
  <c r="Y23" i="62"/>
  <c r="X23" i="62"/>
  <c r="AB23" i="62"/>
  <c r="AA23" i="62"/>
  <c r="AW23" i="62"/>
  <c r="AY23" i="62"/>
  <c r="BA23" i="62"/>
  <c r="BC23" i="62"/>
  <c r="BD23" i="62"/>
  <c r="BF23" i="62"/>
  <c r="BG23" i="62"/>
  <c r="B24" i="62"/>
  <c r="F24" i="62"/>
  <c r="I24" i="62" s="1"/>
  <c r="J24" i="62" s="1"/>
  <c r="AD24" i="62" s="1"/>
  <c r="H24" i="62"/>
  <c r="P24" i="62"/>
  <c r="O24" i="62"/>
  <c r="S24" i="62"/>
  <c r="R24" i="62"/>
  <c r="V24" i="62"/>
  <c r="U24" i="62"/>
  <c r="Y24" i="62"/>
  <c r="X24" i="62"/>
  <c r="AB24" i="62"/>
  <c r="AA24" i="62"/>
  <c r="AW24" i="62"/>
  <c r="AY24" i="62"/>
  <c r="BA24" i="62"/>
  <c r="BC24" i="62"/>
  <c r="BD24" i="62"/>
  <c r="BF24" i="62"/>
  <c r="BG24" i="62"/>
  <c r="B25" i="62"/>
  <c r="F25" i="62"/>
  <c r="I25" i="62" s="1"/>
  <c r="H25" i="62"/>
  <c r="P25" i="62"/>
  <c r="O25" i="62"/>
  <c r="S25" i="62"/>
  <c r="R25" i="62"/>
  <c r="V25" i="62"/>
  <c r="U25" i="62"/>
  <c r="Y25" i="62"/>
  <c r="X25" i="62"/>
  <c r="AB25" i="62"/>
  <c r="AA25" i="62"/>
  <c r="AW25" i="62"/>
  <c r="AY25" i="62"/>
  <c r="BA25" i="62"/>
  <c r="BC25" i="62"/>
  <c r="BD25" i="62"/>
  <c r="BF25" i="62"/>
  <c r="BG25" i="62"/>
  <c r="B26" i="62"/>
  <c r="F26" i="62"/>
  <c r="I26" i="62" s="1"/>
  <c r="J26" i="62" s="1"/>
  <c r="AM26" i="62" s="1"/>
  <c r="H26" i="62"/>
  <c r="P26" i="62"/>
  <c r="O26" i="62"/>
  <c r="S26" i="62"/>
  <c r="R26" i="62"/>
  <c r="V26" i="62"/>
  <c r="U26" i="62"/>
  <c r="Y26" i="62"/>
  <c r="X26" i="62"/>
  <c r="AB26" i="62"/>
  <c r="AA26" i="62"/>
  <c r="AW26" i="62"/>
  <c r="AY26" i="62"/>
  <c r="BA26" i="62"/>
  <c r="BC26" i="62"/>
  <c r="BD26" i="62"/>
  <c r="BF26" i="62"/>
  <c r="BG26" i="62"/>
  <c r="B27" i="62"/>
  <c r="F27" i="62"/>
  <c r="I27" i="62"/>
  <c r="H27" i="62"/>
  <c r="P27" i="62"/>
  <c r="O27" i="62"/>
  <c r="S27" i="62"/>
  <c r="R27" i="62"/>
  <c r="V27" i="62"/>
  <c r="U27" i="62"/>
  <c r="Y27" i="62"/>
  <c r="X27" i="62"/>
  <c r="AB27" i="62"/>
  <c r="AA27" i="62"/>
  <c r="AW27" i="62"/>
  <c r="AY27" i="62"/>
  <c r="BA27" i="62"/>
  <c r="BC27" i="62"/>
  <c r="BD27" i="62"/>
  <c r="BF27" i="62"/>
  <c r="BG27" i="62"/>
  <c r="B28" i="62"/>
  <c r="F28" i="62"/>
  <c r="I28" i="62" s="1"/>
  <c r="H28" i="62"/>
  <c r="P28" i="62"/>
  <c r="O28" i="62"/>
  <c r="S28" i="62"/>
  <c r="R28" i="62"/>
  <c r="V28" i="62"/>
  <c r="U28" i="62"/>
  <c r="Y28" i="62"/>
  <c r="X28" i="62"/>
  <c r="AB28" i="62"/>
  <c r="AA28" i="62"/>
  <c r="AW28" i="62"/>
  <c r="AY28" i="62"/>
  <c r="BA28" i="62"/>
  <c r="BC28" i="62"/>
  <c r="BD28" i="62"/>
  <c r="BF28" i="62"/>
  <c r="BG28" i="62"/>
  <c r="B29" i="62"/>
  <c r="F29" i="62"/>
  <c r="I29" i="62" s="1"/>
  <c r="H29" i="62"/>
  <c r="P29" i="62"/>
  <c r="O29" i="62"/>
  <c r="S29" i="62"/>
  <c r="R29" i="62"/>
  <c r="V29" i="62"/>
  <c r="U29" i="62"/>
  <c r="Y29" i="62"/>
  <c r="X29" i="62"/>
  <c r="AB29" i="62"/>
  <c r="AA29" i="62"/>
  <c r="AW29" i="62"/>
  <c r="AY29" i="62"/>
  <c r="BA29" i="62"/>
  <c r="BC29" i="62"/>
  <c r="BD29" i="62"/>
  <c r="BF29" i="62"/>
  <c r="BG29" i="62"/>
  <c r="B30" i="62"/>
  <c r="F30" i="62"/>
  <c r="I30" i="62" s="1"/>
  <c r="H30" i="62"/>
  <c r="P30" i="62"/>
  <c r="O30" i="62"/>
  <c r="S30" i="62"/>
  <c r="R30" i="62"/>
  <c r="V30" i="62"/>
  <c r="U30" i="62"/>
  <c r="Y30" i="62"/>
  <c r="X30" i="62"/>
  <c r="AB30" i="62"/>
  <c r="AA30" i="62"/>
  <c r="AW30" i="62"/>
  <c r="AY30" i="62"/>
  <c r="BA30" i="62"/>
  <c r="BC30" i="62"/>
  <c r="BD30" i="62"/>
  <c r="BF30" i="62"/>
  <c r="BG30" i="62"/>
  <c r="B31" i="62"/>
  <c r="F31" i="62"/>
  <c r="I31" i="62" s="1"/>
  <c r="K31" i="62" s="1"/>
  <c r="T31" i="62" s="1"/>
  <c r="H31" i="62"/>
  <c r="P31" i="62"/>
  <c r="O31" i="62"/>
  <c r="S31" i="62"/>
  <c r="R31" i="62"/>
  <c r="V31" i="62"/>
  <c r="U31" i="62"/>
  <c r="Y31" i="62"/>
  <c r="X31" i="62"/>
  <c r="AB31" i="62"/>
  <c r="AA31" i="62"/>
  <c r="AW31" i="62"/>
  <c r="AY31" i="62"/>
  <c r="BA31" i="62"/>
  <c r="BC31" i="62"/>
  <c r="BD31" i="62"/>
  <c r="BF31" i="62"/>
  <c r="BG31" i="62"/>
  <c r="B32" i="62"/>
  <c r="F32" i="62"/>
  <c r="I32" i="62" s="1"/>
  <c r="H32" i="62"/>
  <c r="P32" i="62"/>
  <c r="O32" i="62"/>
  <c r="S32" i="62"/>
  <c r="R32" i="62"/>
  <c r="V32" i="62"/>
  <c r="U32" i="62"/>
  <c r="Y32" i="62"/>
  <c r="X32" i="62"/>
  <c r="AB32" i="62"/>
  <c r="AA32" i="62"/>
  <c r="AW32" i="62"/>
  <c r="AY32" i="62"/>
  <c r="BA32" i="62"/>
  <c r="BC32" i="62"/>
  <c r="BD32" i="62"/>
  <c r="BF32" i="62"/>
  <c r="BG32" i="62"/>
  <c r="B33" i="62"/>
  <c r="F33" i="62"/>
  <c r="I33" i="62" s="1"/>
  <c r="K33" i="62" s="1"/>
  <c r="W33" i="62" s="1"/>
  <c r="H33" i="62"/>
  <c r="P33" i="62"/>
  <c r="O33" i="62"/>
  <c r="S33" i="62"/>
  <c r="R33" i="62"/>
  <c r="V33" i="62"/>
  <c r="U33" i="62"/>
  <c r="Y33" i="62"/>
  <c r="X33" i="62"/>
  <c r="AB33" i="62"/>
  <c r="AA33" i="62"/>
  <c r="AW33" i="62"/>
  <c r="AY33" i="62"/>
  <c r="BA33" i="62"/>
  <c r="BC33" i="62"/>
  <c r="BD33" i="62"/>
  <c r="BF33" i="62"/>
  <c r="BG33" i="62"/>
  <c r="B34" i="62"/>
  <c r="F34" i="62"/>
  <c r="I34" i="62" s="1"/>
  <c r="H34" i="62"/>
  <c r="P34" i="62"/>
  <c r="O34" i="62"/>
  <c r="S34" i="62"/>
  <c r="R34" i="62"/>
  <c r="V34" i="62"/>
  <c r="U34" i="62"/>
  <c r="Y34" i="62"/>
  <c r="X34" i="62"/>
  <c r="AB34" i="62"/>
  <c r="AA34" i="62"/>
  <c r="AW34" i="62"/>
  <c r="AY34" i="62"/>
  <c r="BA34" i="62"/>
  <c r="BC34" i="62"/>
  <c r="BD34" i="62"/>
  <c r="BF34" i="62"/>
  <c r="BG34" i="62"/>
  <c r="B35" i="62"/>
  <c r="F35" i="62"/>
  <c r="I35" i="62" s="1"/>
  <c r="J35" i="62" s="1"/>
  <c r="AQ35" i="62" s="1"/>
  <c r="H35" i="62"/>
  <c r="P35" i="62"/>
  <c r="O35" i="62"/>
  <c r="S35" i="62"/>
  <c r="R35" i="62"/>
  <c r="V35" i="62"/>
  <c r="U35" i="62"/>
  <c r="Y35" i="62"/>
  <c r="X35" i="62"/>
  <c r="AB35" i="62"/>
  <c r="AA35" i="62"/>
  <c r="AW35" i="62"/>
  <c r="AY35" i="62"/>
  <c r="BA35" i="62"/>
  <c r="BC35" i="62"/>
  <c r="BD35" i="62"/>
  <c r="BF35" i="62"/>
  <c r="BG35" i="62"/>
  <c r="B36" i="62"/>
  <c r="F36" i="62"/>
  <c r="I36" i="62" s="1"/>
  <c r="H36" i="62"/>
  <c r="P36" i="62"/>
  <c r="O36" i="62"/>
  <c r="S36" i="62"/>
  <c r="R36" i="62"/>
  <c r="V36" i="62"/>
  <c r="U36" i="62"/>
  <c r="Y36" i="62"/>
  <c r="X36" i="62"/>
  <c r="AB36" i="62"/>
  <c r="AA36" i="62"/>
  <c r="AW36" i="62"/>
  <c r="AY36" i="62"/>
  <c r="BA36" i="62"/>
  <c r="BC36" i="62"/>
  <c r="BD36" i="62"/>
  <c r="BF36" i="62"/>
  <c r="BG36" i="62"/>
  <c r="B37" i="62"/>
  <c r="F37" i="62"/>
  <c r="I37" i="62" s="1"/>
  <c r="H37" i="62"/>
  <c r="P37" i="62"/>
  <c r="O37" i="62"/>
  <c r="S37" i="62"/>
  <c r="R37" i="62"/>
  <c r="V37" i="62"/>
  <c r="U37" i="62"/>
  <c r="Y37" i="62"/>
  <c r="X37" i="62"/>
  <c r="AB37" i="62"/>
  <c r="AA37" i="62"/>
  <c r="AW37" i="62"/>
  <c r="AY37" i="62"/>
  <c r="BA37" i="62"/>
  <c r="BC37" i="62"/>
  <c r="BD37" i="62"/>
  <c r="BF37" i="62"/>
  <c r="BG37" i="62"/>
  <c r="B38" i="62"/>
  <c r="F38" i="62"/>
  <c r="I38" i="62" s="1"/>
  <c r="J38" i="62" s="1"/>
  <c r="AE38" i="62" s="1"/>
  <c r="H38" i="62"/>
  <c r="P38" i="62"/>
  <c r="O38" i="62"/>
  <c r="S38" i="62"/>
  <c r="R38" i="62"/>
  <c r="V38" i="62"/>
  <c r="U38" i="62"/>
  <c r="Y38" i="62"/>
  <c r="X38" i="62"/>
  <c r="AB38" i="62"/>
  <c r="AA38" i="62"/>
  <c r="AW38" i="62"/>
  <c r="AY38" i="62"/>
  <c r="BA38" i="62"/>
  <c r="BC38" i="62"/>
  <c r="BD38" i="62"/>
  <c r="BF38" i="62"/>
  <c r="BG38" i="62"/>
  <c r="B39" i="62"/>
  <c r="F39" i="62"/>
  <c r="I39" i="62" s="1"/>
  <c r="J39" i="62" s="1"/>
  <c r="H39" i="62"/>
  <c r="P39" i="62"/>
  <c r="O39" i="62"/>
  <c r="S39" i="62"/>
  <c r="R39" i="62"/>
  <c r="V39" i="62"/>
  <c r="U39" i="62"/>
  <c r="Y39" i="62"/>
  <c r="X39" i="62"/>
  <c r="AB39" i="62"/>
  <c r="AA39" i="62"/>
  <c r="AW39" i="62"/>
  <c r="AY39" i="62"/>
  <c r="BA39" i="62"/>
  <c r="BC39" i="62"/>
  <c r="BD39" i="62"/>
  <c r="BF39" i="62"/>
  <c r="BG39" i="62"/>
  <c r="B40" i="62"/>
  <c r="F40" i="62"/>
  <c r="I40" i="62" s="1"/>
  <c r="K40" i="62" s="1"/>
  <c r="H40" i="62"/>
  <c r="P40" i="62"/>
  <c r="O40" i="62"/>
  <c r="S40" i="62"/>
  <c r="R40" i="62"/>
  <c r="V40" i="62"/>
  <c r="U40" i="62"/>
  <c r="Y40" i="62"/>
  <c r="X40" i="62"/>
  <c r="AB40" i="62"/>
  <c r="AA40" i="62"/>
  <c r="AW40" i="62"/>
  <c r="AY40" i="62"/>
  <c r="BA40" i="62"/>
  <c r="BC40" i="62"/>
  <c r="BD40" i="62"/>
  <c r="BF40" i="62"/>
  <c r="BG40" i="62"/>
  <c r="B41" i="62"/>
  <c r="D41" i="62"/>
  <c r="G41" i="62"/>
  <c r="F41" i="62"/>
  <c r="I41" i="62" s="1"/>
  <c r="H41" i="62"/>
  <c r="P41" i="62"/>
  <c r="O41" i="62"/>
  <c r="S41" i="62"/>
  <c r="R41" i="62"/>
  <c r="V41" i="62"/>
  <c r="U41" i="62"/>
  <c r="Y41" i="62"/>
  <c r="X41" i="62"/>
  <c r="AB41" i="62"/>
  <c r="AA41" i="62"/>
  <c r="AW41" i="62"/>
  <c r="AY41" i="62"/>
  <c r="BA41" i="62"/>
  <c r="BC41" i="62"/>
  <c r="BD41" i="62"/>
  <c r="BF41" i="62"/>
  <c r="BG41" i="62"/>
  <c r="B42" i="62"/>
  <c r="F42" i="62"/>
  <c r="I42" i="62" s="1"/>
  <c r="H42" i="62"/>
  <c r="P42" i="62"/>
  <c r="O42" i="62"/>
  <c r="S42" i="62"/>
  <c r="R42" i="62"/>
  <c r="V42" i="62"/>
  <c r="U42" i="62"/>
  <c r="Y42" i="62"/>
  <c r="X42" i="62"/>
  <c r="AB42" i="62"/>
  <c r="AA42" i="62"/>
  <c r="AW42" i="62"/>
  <c r="AX42" i="62"/>
  <c r="AY42" i="62"/>
  <c r="BA42" i="62"/>
  <c r="BC42" i="62"/>
  <c r="BD42" i="62"/>
  <c r="BF42" i="62"/>
  <c r="BG42" i="62"/>
  <c r="B43" i="62"/>
  <c r="F43" i="62"/>
  <c r="I43" i="62" s="1"/>
  <c r="H43" i="62"/>
  <c r="P43" i="62"/>
  <c r="O43" i="62"/>
  <c r="S43" i="62"/>
  <c r="R43" i="62"/>
  <c r="V43" i="62"/>
  <c r="U43" i="62"/>
  <c r="Y43" i="62"/>
  <c r="X43" i="62"/>
  <c r="AB43" i="62"/>
  <c r="AA43" i="62"/>
  <c r="AW43" i="62"/>
  <c r="AX43" i="62"/>
  <c r="AY43" i="62"/>
  <c r="BA43" i="62"/>
  <c r="BC43" i="62"/>
  <c r="BD43" i="62"/>
  <c r="BF43" i="62"/>
  <c r="BG43" i="62"/>
  <c r="B44" i="62"/>
  <c r="F44" i="62"/>
  <c r="H44" i="62"/>
  <c r="P44" i="62"/>
  <c r="O44" i="62"/>
  <c r="S44" i="62"/>
  <c r="R44" i="62"/>
  <c r="V44" i="62"/>
  <c r="U44" i="62"/>
  <c r="Y44" i="62"/>
  <c r="X44" i="62"/>
  <c r="AB44" i="62"/>
  <c r="AA44" i="62"/>
  <c r="AW44" i="62"/>
  <c r="AX44" i="62"/>
  <c r="AY44" i="62"/>
  <c r="BA44" i="62"/>
  <c r="BC44" i="62"/>
  <c r="BD44" i="62"/>
  <c r="BF44" i="62"/>
  <c r="BG44" i="62"/>
  <c r="B45" i="62"/>
  <c r="F45" i="62"/>
  <c r="I45" i="62" s="1"/>
  <c r="H45" i="62"/>
  <c r="P45" i="62"/>
  <c r="O45" i="62"/>
  <c r="S45" i="62"/>
  <c r="R45" i="62"/>
  <c r="V45" i="62"/>
  <c r="U45" i="62"/>
  <c r="Y45" i="62"/>
  <c r="X45" i="62"/>
  <c r="AB45" i="62"/>
  <c r="AA45" i="62"/>
  <c r="AW45" i="62"/>
  <c r="AX45" i="62"/>
  <c r="AY45" i="62"/>
  <c r="BA45" i="62"/>
  <c r="BC45" i="62"/>
  <c r="BD45" i="62"/>
  <c r="BF45" i="62"/>
  <c r="BG45" i="62"/>
  <c r="B46" i="62"/>
  <c r="F46" i="62"/>
  <c r="I46" i="62" s="1"/>
  <c r="H46" i="62"/>
  <c r="P46" i="62"/>
  <c r="O46" i="62"/>
  <c r="S46" i="62"/>
  <c r="R46" i="62"/>
  <c r="V46" i="62"/>
  <c r="U46" i="62"/>
  <c r="Y46" i="62"/>
  <c r="X46" i="62"/>
  <c r="AB46" i="62"/>
  <c r="AA46" i="62"/>
  <c r="AW46" i="62"/>
  <c r="AX46" i="62"/>
  <c r="AY46" i="62"/>
  <c r="BA46" i="62"/>
  <c r="BC46" i="62"/>
  <c r="BD46" i="62"/>
  <c r="BF46" i="62"/>
  <c r="BG46" i="62"/>
  <c r="B47" i="62"/>
  <c r="F47" i="62"/>
  <c r="I47" i="62" s="1"/>
  <c r="J47" i="62" s="1"/>
  <c r="H47" i="62"/>
  <c r="P47" i="62"/>
  <c r="O47" i="62"/>
  <c r="S47" i="62"/>
  <c r="R47" i="62"/>
  <c r="V47" i="62"/>
  <c r="U47" i="62"/>
  <c r="Y47" i="62"/>
  <c r="X47" i="62"/>
  <c r="AB47" i="62"/>
  <c r="AA47" i="62"/>
  <c r="AW47" i="62"/>
  <c r="AW54" i="62"/>
  <c r="AW53" i="62"/>
  <c r="P60" i="62"/>
  <c r="AX47" i="62"/>
  <c r="AY47" i="62"/>
  <c r="BA47" i="62"/>
  <c r="BC47" i="62"/>
  <c r="BD47" i="62"/>
  <c r="BF47" i="62"/>
  <c r="BG47" i="62"/>
  <c r="B48" i="62"/>
  <c r="D48" i="62"/>
  <c r="G48" i="62"/>
  <c r="F48" i="62"/>
  <c r="I48" i="62" s="1"/>
  <c r="K48" i="62" s="1"/>
  <c r="H48" i="62"/>
  <c r="P48" i="62"/>
  <c r="O48" i="62"/>
  <c r="S48" i="62"/>
  <c r="R48" i="62"/>
  <c r="V48" i="62"/>
  <c r="U48" i="62"/>
  <c r="Y48" i="62"/>
  <c r="X48" i="62"/>
  <c r="AB48" i="62"/>
  <c r="AA48" i="62"/>
  <c r="AW48" i="62"/>
  <c r="AY48" i="62"/>
  <c r="BA48" i="62"/>
  <c r="BC48" i="62"/>
  <c r="BD48" i="62"/>
  <c r="BF48" i="62"/>
  <c r="BG48" i="62"/>
  <c r="B49" i="62"/>
  <c r="F49" i="62"/>
  <c r="I49" i="62" s="1"/>
  <c r="J49" i="62" s="1"/>
  <c r="AQ49" i="62" s="1"/>
  <c r="H49" i="62"/>
  <c r="P49" i="62"/>
  <c r="O49" i="62"/>
  <c r="S49" i="62"/>
  <c r="R49" i="62"/>
  <c r="V49" i="62"/>
  <c r="U49" i="62"/>
  <c r="Y49" i="62"/>
  <c r="X49" i="62"/>
  <c r="AB49" i="62"/>
  <c r="AA49" i="62"/>
  <c r="AW49" i="62"/>
  <c r="AY49" i="62"/>
  <c r="BA49" i="62"/>
  <c r="BC49" i="62"/>
  <c r="BD49" i="62"/>
  <c r="BF49" i="62"/>
  <c r="BG49" i="62"/>
  <c r="B50" i="62"/>
  <c r="F50" i="62"/>
  <c r="I50" i="62" s="1"/>
  <c r="H50" i="62"/>
  <c r="P50" i="62"/>
  <c r="O50" i="62"/>
  <c r="S50" i="62"/>
  <c r="R50" i="62"/>
  <c r="V50" i="62"/>
  <c r="U50" i="62"/>
  <c r="Y50" i="62"/>
  <c r="X50" i="62"/>
  <c r="AB50" i="62"/>
  <c r="AA50" i="62"/>
  <c r="AW50" i="62"/>
  <c r="AY50" i="62"/>
  <c r="BA50" i="62"/>
  <c r="BC50" i="62"/>
  <c r="BD50" i="62"/>
  <c r="BF50" i="62"/>
  <c r="BG50" i="62"/>
  <c r="B51" i="62"/>
  <c r="F51" i="62"/>
  <c r="I51" i="62" s="1"/>
  <c r="H51" i="62"/>
  <c r="P51" i="62"/>
  <c r="O51" i="62"/>
  <c r="S51" i="62"/>
  <c r="R51" i="62"/>
  <c r="V51" i="62"/>
  <c r="U51" i="62"/>
  <c r="Y51" i="62"/>
  <c r="X51" i="62"/>
  <c r="AB51" i="62"/>
  <c r="AA51" i="62"/>
  <c r="AW51" i="62"/>
  <c r="AY51" i="62"/>
  <c r="BA51" i="62"/>
  <c r="BC51" i="62"/>
  <c r="BD51" i="62"/>
  <c r="BF51" i="62"/>
  <c r="BG51" i="62"/>
  <c r="B52" i="62"/>
  <c r="F52" i="62"/>
  <c r="I52" i="62" s="1"/>
  <c r="K52" i="62" s="1"/>
  <c r="W52" i="62" s="1"/>
  <c r="H52" i="62"/>
  <c r="P52" i="62"/>
  <c r="O52" i="62"/>
  <c r="S52" i="62"/>
  <c r="R52" i="62"/>
  <c r="V52" i="62"/>
  <c r="U52" i="62"/>
  <c r="Y52" i="62"/>
  <c r="X52" i="62"/>
  <c r="AB52" i="62"/>
  <c r="AA52" i="62"/>
  <c r="AW52" i="62"/>
  <c r="AY52" i="62"/>
  <c r="BA52" i="62"/>
  <c r="BC52" i="62"/>
  <c r="BD52" i="62"/>
  <c r="BF52" i="62"/>
  <c r="BG52" i="62"/>
  <c r="L54" i="62"/>
  <c r="AY53" i="62"/>
  <c r="AZ54" i="62"/>
  <c r="M54" i="62"/>
  <c r="BB54" i="62"/>
  <c r="BE54" i="62"/>
  <c r="J56" i="62"/>
  <c r="J57" i="62"/>
  <c r="AX60" i="62"/>
  <c r="K63" i="62"/>
  <c r="L63" i="62"/>
  <c r="M63" i="62"/>
  <c r="N63" i="62"/>
  <c r="O63" i="62"/>
  <c r="K64" i="62"/>
  <c r="L64" i="62"/>
  <c r="M64" i="62"/>
  <c r="N64" i="62"/>
  <c r="O64" i="62"/>
  <c r="B2" i="63"/>
  <c r="A3" i="63"/>
  <c r="B3" i="63"/>
  <c r="A4" i="63"/>
  <c r="B4" i="63"/>
  <c r="A5" i="63"/>
  <c r="B5" i="63"/>
  <c r="A6" i="63"/>
  <c r="B6" i="63"/>
  <c r="A7" i="63"/>
  <c r="B7" i="63"/>
  <c r="A8" i="63"/>
  <c r="B8" i="63"/>
  <c r="T8" i="63"/>
  <c r="U8" i="63"/>
  <c r="A9" i="63"/>
  <c r="B9" i="63"/>
  <c r="A10" i="63"/>
  <c r="B10" i="63"/>
  <c r="T10" i="63"/>
  <c r="U10" i="63"/>
  <c r="A11" i="63"/>
  <c r="B11" i="63"/>
  <c r="A12" i="63"/>
  <c r="B12" i="63"/>
  <c r="A13" i="63"/>
  <c r="B13" i="63"/>
  <c r="A14" i="63"/>
  <c r="B14" i="63"/>
  <c r="U14" i="63"/>
  <c r="A15" i="63"/>
  <c r="B15" i="63"/>
  <c r="A16" i="63"/>
  <c r="B16" i="63"/>
  <c r="V16" i="63"/>
  <c r="A17" i="63"/>
  <c r="B17" i="63"/>
  <c r="A18" i="63"/>
  <c r="B18" i="63"/>
  <c r="A19" i="63"/>
  <c r="B19" i="63"/>
  <c r="A20" i="63"/>
  <c r="B20" i="63"/>
  <c r="A21" i="63"/>
  <c r="B21" i="63"/>
  <c r="A22" i="63"/>
  <c r="B22" i="63"/>
  <c r="A23" i="63"/>
  <c r="B23" i="63"/>
  <c r="A24" i="63"/>
  <c r="B24" i="63"/>
  <c r="A25" i="63"/>
  <c r="B25" i="63"/>
  <c r="A26" i="63"/>
  <c r="B26" i="63"/>
  <c r="A27" i="63"/>
  <c r="B27" i="63"/>
  <c r="A28" i="63"/>
  <c r="B28" i="63"/>
  <c r="A29" i="63"/>
  <c r="B29" i="63"/>
  <c r="A30" i="63"/>
  <c r="B30" i="63"/>
  <c r="A31" i="63"/>
  <c r="B31" i="63"/>
  <c r="A32" i="63"/>
  <c r="B32" i="63"/>
  <c r="A33" i="63"/>
  <c r="B33" i="63"/>
  <c r="A34" i="63"/>
  <c r="B34" i="63"/>
  <c r="A35" i="63"/>
  <c r="B35" i="63"/>
  <c r="A36" i="63"/>
  <c r="B36" i="63"/>
  <c r="A37" i="63"/>
  <c r="B37" i="63"/>
  <c r="A38" i="63"/>
  <c r="B38" i="63"/>
  <c r="C6" i="58"/>
  <c r="C7" i="58"/>
  <c r="C8" i="58"/>
  <c r="J8" i="58"/>
  <c r="J42" i="58"/>
  <c r="J43" i="58"/>
  <c r="K8" i="58"/>
  <c r="M8" i="58"/>
  <c r="C9" i="58"/>
  <c r="N9" i="58"/>
  <c r="D20" i="59"/>
  <c r="G20" i="59"/>
  <c r="C10" i="58"/>
  <c r="J10" i="58"/>
  <c r="K10" i="58"/>
  <c r="M10" i="58"/>
  <c r="N10" i="58"/>
  <c r="D21" i="59"/>
  <c r="G21" i="59"/>
  <c r="C11" i="58"/>
  <c r="J11" i="58"/>
  <c r="K11" i="58"/>
  <c r="M11" i="58"/>
  <c r="N11" i="58"/>
  <c r="D22" i="59"/>
  <c r="G22" i="59"/>
  <c r="C12" i="58"/>
  <c r="J12" i="58"/>
  <c r="K12" i="58"/>
  <c r="M12" i="58"/>
  <c r="N12" i="58"/>
  <c r="D23" i="59"/>
  <c r="G23" i="59"/>
  <c r="C13" i="58"/>
  <c r="J13" i="58"/>
  <c r="K13" i="58"/>
  <c r="M13" i="58"/>
  <c r="N13" i="58"/>
  <c r="D24" i="59"/>
  <c r="G24" i="59"/>
  <c r="C14" i="58"/>
  <c r="J14" i="58"/>
  <c r="K14" i="58"/>
  <c r="M14" i="58"/>
  <c r="N14" i="58"/>
  <c r="D25" i="59"/>
  <c r="G25" i="59"/>
  <c r="C15" i="58"/>
  <c r="J15" i="58"/>
  <c r="K15" i="58"/>
  <c r="M15" i="58"/>
  <c r="N15" i="58"/>
  <c r="D26" i="59"/>
  <c r="G26" i="59"/>
  <c r="C16" i="58"/>
  <c r="J16" i="58"/>
  <c r="K16" i="58"/>
  <c r="M16" i="58"/>
  <c r="N16" i="58"/>
  <c r="D27" i="59"/>
  <c r="G27" i="59"/>
  <c r="C17" i="58"/>
  <c r="J17" i="58"/>
  <c r="K17" i="58"/>
  <c r="M17" i="58"/>
  <c r="N17" i="58"/>
  <c r="D28" i="59"/>
  <c r="G28" i="59"/>
  <c r="C18" i="58"/>
  <c r="J18" i="58"/>
  <c r="K18" i="58"/>
  <c r="M18" i="58"/>
  <c r="N18" i="58"/>
  <c r="D29" i="59"/>
  <c r="G29" i="59"/>
  <c r="C19" i="58"/>
  <c r="J19" i="58"/>
  <c r="K19" i="58"/>
  <c r="M19" i="58"/>
  <c r="N19" i="58"/>
  <c r="D30" i="59"/>
  <c r="G30" i="59"/>
  <c r="C20" i="58"/>
  <c r="J20" i="58"/>
  <c r="K20" i="58"/>
  <c r="M20" i="58"/>
  <c r="N20" i="58"/>
  <c r="D31" i="59"/>
  <c r="G31" i="59"/>
  <c r="C21" i="58"/>
  <c r="J21" i="58"/>
  <c r="K21" i="58"/>
  <c r="M21" i="58"/>
  <c r="N21" i="58"/>
  <c r="D32" i="59"/>
  <c r="C22" i="58"/>
  <c r="J22" i="58"/>
  <c r="K22" i="58"/>
  <c r="M22" i="58"/>
  <c r="N22" i="58"/>
  <c r="D33" i="59"/>
  <c r="G33" i="59"/>
  <c r="C23" i="58"/>
  <c r="J23" i="58"/>
  <c r="K23" i="58"/>
  <c r="M23" i="58"/>
  <c r="N23" i="58"/>
  <c r="D34" i="59"/>
  <c r="G34" i="59"/>
  <c r="C24" i="58"/>
  <c r="J24" i="58"/>
  <c r="K24" i="58"/>
  <c r="M24" i="58"/>
  <c r="N24" i="58"/>
  <c r="D35" i="59"/>
  <c r="G35" i="59"/>
  <c r="C25" i="58"/>
  <c r="J25" i="58"/>
  <c r="K25" i="58"/>
  <c r="M25" i="58"/>
  <c r="N25" i="58"/>
  <c r="D36" i="59"/>
  <c r="G36" i="59"/>
  <c r="C26" i="58"/>
  <c r="J26" i="58"/>
  <c r="K26" i="58"/>
  <c r="M26" i="58"/>
  <c r="N26" i="58"/>
  <c r="D37" i="59"/>
  <c r="G37" i="59"/>
  <c r="C27" i="58"/>
  <c r="J27" i="58"/>
  <c r="K27" i="58"/>
  <c r="M27" i="58"/>
  <c r="N27" i="58"/>
  <c r="D38" i="59"/>
  <c r="G38" i="59"/>
  <c r="C28" i="58"/>
  <c r="J28" i="58"/>
  <c r="K28" i="58"/>
  <c r="M28" i="58"/>
  <c r="N28" i="58"/>
  <c r="D39" i="59"/>
  <c r="G39" i="59"/>
  <c r="C29" i="58"/>
  <c r="J29" i="58"/>
  <c r="K29" i="58"/>
  <c r="M29" i="58"/>
  <c r="N29" i="58"/>
  <c r="D40" i="59"/>
  <c r="G40" i="59"/>
  <c r="C30" i="58"/>
  <c r="J30" i="58"/>
  <c r="K30" i="58"/>
  <c r="M30" i="58"/>
  <c r="N30" i="58"/>
  <c r="D41" i="59"/>
  <c r="G41" i="59"/>
  <c r="C31" i="58"/>
  <c r="J31" i="58"/>
  <c r="K31" i="58"/>
  <c r="M31" i="58"/>
  <c r="N31" i="58"/>
  <c r="D42" i="59"/>
  <c r="G42" i="59"/>
  <c r="C32" i="58"/>
  <c r="J32" i="58"/>
  <c r="K32" i="58"/>
  <c r="M32" i="58"/>
  <c r="N32" i="58"/>
  <c r="C33" i="58"/>
  <c r="J33" i="58"/>
  <c r="K33" i="58"/>
  <c r="M33" i="58"/>
  <c r="N33" i="58"/>
  <c r="D44" i="59"/>
  <c r="G44" i="59"/>
  <c r="C34" i="58"/>
  <c r="J34" i="58"/>
  <c r="K34" i="58"/>
  <c r="M34" i="58"/>
  <c r="N34" i="58"/>
  <c r="D45" i="59"/>
  <c r="G45" i="59"/>
  <c r="C35" i="58"/>
  <c r="J35" i="58"/>
  <c r="K35" i="58"/>
  <c r="M35" i="58"/>
  <c r="N35" i="58"/>
  <c r="D46" i="59"/>
  <c r="C36" i="58"/>
  <c r="J36" i="58"/>
  <c r="K36" i="58"/>
  <c r="M36" i="58"/>
  <c r="N36" i="58"/>
  <c r="D47" i="59"/>
  <c r="G47" i="59"/>
  <c r="C37" i="58"/>
  <c r="J37" i="58"/>
  <c r="K37" i="58"/>
  <c r="M37" i="58"/>
  <c r="N37" i="58"/>
  <c r="D48" i="59"/>
  <c r="G48" i="59"/>
  <c r="C38" i="58"/>
  <c r="J38" i="58"/>
  <c r="K38" i="58"/>
  <c r="M38" i="58"/>
  <c r="N38" i="58"/>
  <c r="D49" i="59"/>
  <c r="G49" i="59"/>
  <c r="C39" i="58"/>
  <c r="J39" i="58"/>
  <c r="K39" i="58"/>
  <c r="M39" i="58"/>
  <c r="N39" i="58"/>
  <c r="D50" i="59"/>
  <c r="G50" i="59"/>
  <c r="C40" i="58"/>
  <c r="J40" i="58"/>
  <c r="K40" i="58"/>
  <c r="M40" i="58"/>
  <c r="N40" i="58"/>
  <c r="D51" i="59"/>
  <c r="G51" i="59"/>
  <c r="C41" i="58"/>
  <c r="J41" i="58"/>
  <c r="K41" i="58"/>
  <c r="M41" i="58"/>
  <c r="N41" i="58"/>
  <c r="D52" i="59"/>
  <c r="D42" i="58"/>
  <c r="E42" i="58"/>
  <c r="F42" i="58"/>
  <c r="F43" i="58"/>
  <c r="G42" i="58"/>
  <c r="G43" i="58"/>
  <c r="H42" i="58"/>
  <c r="H43" i="58"/>
  <c r="I42" i="58"/>
  <c r="D43" i="58"/>
  <c r="E43" i="58"/>
  <c r="I43" i="58"/>
  <c r="L43" i="58"/>
  <c r="C44" i="58"/>
  <c r="J1" i="59"/>
  <c r="E7" i="59"/>
  <c r="B17" i="59"/>
  <c r="P17" i="59"/>
  <c r="O17" i="59"/>
  <c r="S17" i="59"/>
  <c r="R17" i="59"/>
  <c r="V17" i="59"/>
  <c r="U17" i="59"/>
  <c r="Y17" i="59"/>
  <c r="X17" i="59"/>
  <c r="AB17" i="59"/>
  <c r="AA17" i="59"/>
  <c r="AW17" i="59"/>
  <c r="AW54" i="59"/>
  <c r="AW53" i="59"/>
  <c r="P60" i="59"/>
  <c r="AY17" i="59"/>
  <c r="BA17" i="59"/>
  <c r="BC17" i="59"/>
  <c r="BD17" i="59"/>
  <c r="BF17" i="59"/>
  <c r="BG17" i="59"/>
  <c r="B18" i="59"/>
  <c r="P18" i="59"/>
  <c r="U6" i="60"/>
  <c r="O18" i="59"/>
  <c r="T6" i="60"/>
  <c r="S18" i="59"/>
  <c r="V18" i="59"/>
  <c r="Y18" i="59"/>
  <c r="X18" i="59"/>
  <c r="AB18" i="59"/>
  <c r="AW18" i="59"/>
  <c r="AY18" i="59"/>
  <c r="BA18" i="59"/>
  <c r="BC18" i="59"/>
  <c r="BD18" i="59"/>
  <c r="BD53" i="59"/>
  <c r="BB53" i="59"/>
  <c r="R60" i="59"/>
  <c r="BF18" i="59"/>
  <c r="BG18" i="59"/>
  <c r="B19" i="59"/>
  <c r="H19" i="59"/>
  <c r="P19" i="59"/>
  <c r="O19" i="59"/>
  <c r="S19" i="59"/>
  <c r="R19" i="59"/>
  <c r="V19" i="59"/>
  <c r="U19" i="59"/>
  <c r="Y19" i="59"/>
  <c r="X19" i="59"/>
  <c r="AB19" i="59"/>
  <c r="AA19" i="59"/>
  <c r="AW19" i="59"/>
  <c r="AY19" i="59"/>
  <c r="BA19" i="59"/>
  <c r="BC19" i="59"/>
  <c r="BD19" i="59"/>
  <c r="BF19" i="59"/>
  <c r="BG19" i="59"/>
  <c r="B20" i="59"/>
  <c r="P20" i="59"/>
  <c r="O20" i="59"/>
  <c r="S20" i="59"/>
  <c r="R20" i="59"/>
  <c r="V20" i="59"/>
  <c r="U20" i="59"/>
  <c r="Y20" i="59"/>
  <c r="X20" i="59"/>
  <c r="AB20" i="59"/>
  <c r="AA20" i="59"/>
  <c r="AW20" i="59"/>
  <c r="AY20" i="59"/>
  <c r="BA20" i="59"/>
  <c r="BC20" i="59"/>
  <c r="BD20" i="59"/>
  <c r="BF20" i="59"/>
  <c r="BG20" i="59"/>
  <c r="B21" i="59"/>
  <c r="F21" i="59"/>
  <c r="I21" i="59" s="1"/>
  <c r="H21" i="59"/>
  <c r="P21" i="59"/>
  <c r="O21" i="59"/>
  <c r="S21" i="59"/>
  <c r="R21" i="59"/>
  <c r="V21" i="59"/>
  <c r="U21" i="59"/>
  <c r="Y21" i="59"/>
  <c r="X21" i="59"/>
  <c r="AB21" i="59"/>
  <c r="AA21" i="59"/>
  <c r="AW21" i="59"/>
  <c r="AY21" i="59"/>
  <c r="BA21" i="59"/>
  <c r="BC21" i="59"/>
  <c r="BD21" i="59"/>
  <c r="BF21" i="59"/>
  <c r="BG21" i="59"/>
  <c r="B22" i="59"/>
  <c r="F22" i="59"/>
  <c r="I22" i="59" s="1"/>
  <c r="H22" i="59"/>
  <c r="P22" i="59"/>
  <c r="O22" i="59"/>
  <c r="S22" i="59"/>
  <c r="R22" i="59"/>
  <c r="V22" i="59"/>
  <c r="U22" i="59"/>
  <c r="Y22" i="59"/>
  <c r="X22" i="59"/>
  <c r="AB22" i="59"/>
  <c r="AA22" i="59"/>
  <c r="AW22" i="59"/>
  <c r="AY22" i="59"/>
  <c r="BA22" i="59"/>
  <c r="BC22" i="59"/>
  <c r="BD22" i="59"/>
  <c r="BF22" i="59"/>
  <c r="BG22" i="59"/>
  <c r="B23" i="59"/>
  <c r="F23" i="59"/>
  <c r="I23" i="59" s="1"/>
  <c r="J23" i="59" s="1"/>
  <c r="AO23" i="59" s="1"/>
  <c r="H23" i="59"/>
  <c r="P23" i="59"/>
  <c r="O23" i="59"/>
  <c r="S23" i="59"/>
  <c r="R23" i="59"/>
  <c r="V23" i="59"/>
  <c r="U23" i="59"/>
  <c r="Y23" i="59"/>
  <c r="X23" i="59"/>
  <c r="AB23" i="59"/>
  <c r="AA23" i="59"/>
  <c r="AW23" i="59"/>
  <c r="AY23" i="59"/>
  <c r="BA23" i="59"/>
  <c r="BC23" i="59"/>
  <c r="BD23" i="59"/>
  <c r="BF23" i="59"/>
  <c r="BG23" i="59"/>
  <c r="B24" i="59"/>
  <c r="F24" i="59"/>
  <c r="I24" i="59" s="1"/>
  <c r="H24" i="59"/>
  <c r="P24" i="59"/>
  <c r="O24" i="59"/>
  <c r="S24" i="59"/>
  <c r="R24" i="59"/>
  <c r="V24" i="59"/>
  <c r="U24" i="59"/>
  <c r="Y24" i="59"/>
  <c r="X24" i="59"/>
  <c r="AB24" i="59"/>
  <c r="AA24" i="59"/>
  <c r="AW24" i="59"/>
  <c r="AY24" i="59"/>
  <c r="BA24" i="59"/>
  <c r="BC24" i="59"/>
  <c r="BD24" i="59"/>
  <c r="BF24" i="59"/>
  <c r="BG24" i="59"/>
  <c r="B25" i="59"/>
  <c r="F25" i="59"/>
  <c r="I25" i="59" s="1"/>
  <c r="H25" i="59"/>
  <c r="P25" i="59"/>
  <c r="O25" i="59"/>
  <c r="S25" i="59"/>
  <c r="R25" i="59"/>
  <c r="V25" i="59"/>
  <c r="U25" i="59"/>
  <c r="Y25" i="59"/>
  <c r="X25" i="59"/>
  <c r="AB25" i="59"/>
  <c r="AA25" i="59"/>
  <c r="AW25" i="59"/>
  <c r="AY25" i="59"/>
  <c r="BA25" i="59"/>
  <c r="BC25" i="59"/>
  <c r="BD25" i="59"/>
  <c r="BF25" i="59"/>
  <c r="BG25" i="59"/>
  <c r="B26" i="59"/>
  <c r="F26" i="59"/>
  <c r="I26" i="59" s="1"/>
  <c r="H26" i="59"/>
  <c r="P26" i="59"/>
  <c r="O26" i="59"/>
  <c r="S26" i="59"/>
  <c r="R26" i="59"/>
  <c r="V26" i="59"/>
  <c r="U26" i="59"/>
  <c r="Y26" i="59"/>
  <c r="X26" i="59"/>
  <c r="AB26" i="59"/>
  <c r="AA26" i="59"/>
  <c r="AW26" i="59"/>
  <c r="AY26" i="59"/>
  <c r="BA26" i="59"/>
  <c r="BC26" i="59"/>
  <c r="BD26" i="59"/>
  <c r="BF26" i="59"/>
  <c r="BG26" i="59"/>
  <c r="B27" i="59"/>
  <c r="F27" i="59"/>
  <c r="I27" i="59" s="1"/>
  <c r="K27" i="59" s="1"/>
  <c r="W27" i="59" s="1"/>
  <c r="H27" i="59"/>
  <c r="P27" i="59"/>
  <c r="O27" i="59"/>
  <c r="S27" i="59"/>
  <c r="R27" i="59"/>
  <c r="V27" i="59"/>
  <c r="U27" i="59"/>
  <c r="Y27" i="59"/>
  <c r="X27" i="59"/>
  <c r="AB27" i="59"/>
  <c r="AA27" i="59"/>
  <c r="AW27" i="59"/>
  <c r="AY27" i="59"/>
  <c r="BA27" i="59"/>
  <c r="BC27" i="59"/>
  <c r="BD27" i="59"/>
  <c r="BF27" i="59"/>
  <c r="BG27" i="59"/>
  <c r="B28" i="59"/>
  <c r="F28" i="59"/>
  <c r="I28" i="59" s="1"/>
  <c r="K28" i="59" s="1"/>
  <c r="H28" i="59"/>
  <c r="P28" i="59"/>
  <c r="O28" i="59"/>
  <c r="S28" i="59"/>
  <c r="R28" i="59"/>
  <c r="V28" i="59"/>
  <c r="U28" i="59"/>
  <c r="Y28" i="59"/>
  <c r="X28" i="59"/>
  <c r="AB28" i="59"/>
  <c r="AA28" i="59"/>
  <c r="AW28" i="59"/>
  <c r="AY28" i="59"/>
  <c r="BA28" i="59"/>
  <c r="BC28" i="59"/>
  <c r="BD28" i="59"/>
  <c r="BF28" i="59"/>
  <c r="BG28" i="59"/>
  <c r="B29" i="59"/>
  <c r="F29" i="59"/>
  <c r="I29" i="59" s="1"/>
  <c r="J29" i="59" s="1"/>
  <c r="H29" i="59"/>
  <c r="P29" i="59"/>
  <c r="O29" i="59"/>
  <c r="S29" i="59"/>
  <c r="R29" i="59"/>
  <c r="V29" i="59"/>
  <c r="U29" i="59"/>
  <c r="Y29" i="59"/>
  <c r="X29" i="59"/>
  <c r="AB29" i="59"/>
  <c r="AA29" i="59"/>
  <c r="AW29" i="59"/>
  <c r="AY29" i="59"/>
  <c r="BA29" i="59"/>
  <c r="BC29" i="59"/>
  <c r="BD29" i="59"/>
  <c r="BF29" i="59"/>
  <c r="BG29" i="59"/>
  <c r="B30" i="59"/>
  <c r="F30" i="59"/>
  <c r="I30" i="59" s="1"/>
  <c r="H30" i="59"/>
  <c r="P30" i="59"/>
  <c r="O30" i="59"/>
  <c r="S30" i="59"/>
  <c r="R30" i="59"/>
  <c r="V30" i="59"/>
  <c r="U30" i="59"/>
  <c r="Y30" i="59"/>
  <c r="X30" i="59"/>
  <c r="AB30" i="59"/>
  <c r="AA30" i="59"/>
  <c r="AW30" i="59"/>
  <c r="AY30" i="59"/>
  <c r="BA30" i="59"/>
  <c r="BC30" i="59"/>
  <c r="BD30" i="59"/>
  <c r="BF30" i="59"/>
  <c r="BG30" i="59"/>
  <c r="B31" i="59"/>
  <c r="F31" i="59"/>
  <c r="I31" i="59" s="1"/>
  <c r="H31" i="59"/>
  <c r="P31" i="59"/>
  <c r="O31" i="59"/>
  <c r="S31" i="59"/>
  <c r="R31" i="59"/>
  <c r="V31" i="59"/>
  <c r="U31" i="59"/>
  <c r="Y31" i="59"/>
  <c r="X31" i="59"/>
  <c r="AB31" i="59"/>
  <c r="AA31" i="59"/>
  <c r="AW31" i="59"/>
  <c r="AY31" i="59"/>
  <c r="BA31" i="59"/>
  <c r="BC31" i="59"/>
  <c r="BD31" i="59"/>
  <c r="BF31" i="59"/>
  <c r="BG31" i="59"/>
  <c r="B32" i="59"/>
  <c r="F32" i="59"/>
  <c r="I32" i="59" s="1"/>
  <c r="G32" i="59"/>
  <c r="H32" i="59"/>
  <c r="P32" i="59"/>
  <c r="O32" i="59"/>
  <c r="S32" i="59"/>
  <c r="R32" i="59"/>
  <c r="V32" i="59"/>
  <c r="U32" i="59"/>
  <c r="Y32" i="59"/>
  <c r="X32" i="59"/>
  <c r="AB32" i="59"/>
  <c r="AA32" i="59"/>
  <c r="AW32" i="59"/>
  <c r="AY32" i="59"/>
  <c r="BA32" i="59"/>
  <c r="BC32" i="59"/>
  <c r="BD32" i="59"/>
  <c r="BF32" i="59"/>
  <c r="BG32" i="59"/>
  <c r="B33" i="59"/>
  <c r="F33" i="59"/>
  <c r="I33" i="59" s="1"/>
  <c r="K33" i="59" s="1"/>
  <c r="Q33" i="59" s="1"/>
  <c r="H33" i="59"/>
  <c r="P33" i="59"/>
  <c r="O33" i="59"/>
  <c r="S33" i="59"/>
  <c r="R33" i="59"/>
  <c r="V33" i="59"/>
  <c r="U33" i="59"/>
  <c r="Y33" i="59"/>
  <c r="X33" i="59"/>
  <c r="AB33" i="59"/>
  <c r="AA33" i="59"/>
  <c r="AW33" i="59"/>
  <c r="AY33" i="59"/>
  <c r="BA33" i="59"/>
  <c r="BC33" i="59"/>
  <c r="BD33" i="59"/>
  <c r="BF33" i="59"/>
  <c r="BG33" i="59"/>
  <c r="B34" i="59"/>
  <c r="F34" i="59"/>
  <c r="I34" i="59"/>
  <c r="K34" i="59" s="1"/>
  <c r="H34" i="59"/>
  <c r="P34" i="59"/>
  <c r="O34" i="59"/>
  <c r="S34" i="59"/>
  <c r="R34" i="59"/>
  <c r="V34" i="59"/>
  <c r="U34" i="59"/>
  <c r="Y34" i="59"/>
  <c r="X34" i="59"/>
  <c r="AB34" i="59"/>
  <c r="AA34" i="59"/>
  <c r="AW34" i="59"/>
  <c r="AY34" i="59"/>
  <c r="BA34" i="59"/>
  <c r="BC34" i="59"/>
  <c r="BD34" i="59"/>
  <c r="BF34" i="59"/>
  <c r="BG34" i="59"/>
  <c r="B35" i="59"/>
  <c r="F35" i="59"/>
  <c r="I35" i="59" s="1"/>
  <c r="J35" i="59" s="1"/>
  <c r="AP35" i="59" s="1"/>
  <c r="H35" i="59"/>
  <c r="P35" i="59"/>
  <c r="O35" i="59"/>
  <c r="S35" i="59"/>
  <c r="R35" i="59"/>
  <c r="V35" i="59"/>
  <c r="U35" i="59"/>
  <c r="Y35" i="59"/>
  <c r="X35" i="59"/>
  <c r="AB35" i="59"/>
  <c r="AA35" i="59"/>
  <c r="AW35" i="59"/>
  <c r="AY35" i="59"/>
  <c r="BA35" i="59"/>
  <c r="BC35" i="59"/>
  <c r="BD35" i="59"/>
  <c r="BF35" i="59"/>
  <c r="BG35" i="59"/>
  <c r="B36" i="59"/>
  <c r="F36" i="59"/>
  <c r="I36" i="59" s="1"/>
  <c r="H36" i="59"/>
  <c r="P36" i="59"/>
  <c r="O36" i="59"/>
  <c r="S36" i="59"/>
  <c r="R36" i="59"/>
  <c r="V36" i="59"/>
  <c r="U36" i="59"/>
  <c r="Y36" i="59"/>
  <c r="X36" i="59"/>
  <c r="AB36" i="59"/>
  <c r="AA36" i="59"/>
  <c r="AW36" i="59"/>
  <c r="AY36" i="59"/>
  <c r="BA36" i="59"/>
  <c r="BC36" i="59"/>
  <c r="BD36" i="59"/>
  <c r="BF36" i="59"/>
  <c r="BG36" i="59"/>
  <c r="B37" i="59"/>
  <c r="F37" i="59"/>
  <c r="I37" i="59" s="1"/>
  <c r="J37" i="59" s="1"/>
  <c r="H37" i="59"/>
  <c r="P37" i="59"/>
  <c r="O37" i="59"/>
  <c r="S37" i="59"/>
  <c r="R37" i="59"/>
  <c r="V37" i="59"/>
  <c r="U37" i="59"/>
  <c r="Y37" i="59"/>
  <c r="X37" i="59"/>
  <c r="AB37" i="59"/>
  <c r="AA37" i="59"/>
  <c r="AW37" i="59"/>
  <c r="AY37" i="59"/>
  <c r="BA37" i="59"/>
  <c r="BC37" i="59"/>
  <c r="BD37" i="59"/>
  <c r="BF37" i="59"/>
  <c r="BG37" i="59"/>
  <c r="B38" i="59"/>
  <c r="F38" i="59"/>
  <c r="I38" i="59" s="1"/>
  <c r="H38" i="59"/>
  <c r="P38" i="59"/>
  <c r="O38" i="59"/>
  <c r="S38" i="59"/>
  <c r="R38" i="59"/>
  <c r="V38" i="59"/>
  <c r="U38" i="59"/>
  <c r="Y38" i="59"/>
  <c r="X38" i="59"/>
  <c r="AB38" i="59"/>
  <c r="AA38" i="59"/>
  <c r="AW38" i="59"/>
  <c r="AY38" i="59"/>
  <c r="BA38" i="59"/>
  <c r="BC38" i="59"/>
  <c r="BD38" i="59"/>
  <c r="BF38" i="59"/>
  <c r="BG38" i="59"/>
  <c r="B39" i="59"/>
  <c r="F39" i="59"/>
  <c r="I39" i="59" s="1"/>
  <c r="J39" i="59" s="1"/>
  <c r="H39" i="59"/>
  <c r="P39" i="59"/>
  <c r="O39" i="59"/>
  <c r="S39" i="59"/>
  <c r="R39" i="59"/>
  <c r="V39" i="59"/>
  <c r="U39" i="59"/>
  <c r="Y39" i="59"/>
  <c r="X39" i="59"/>
  <c r="AB39" i="59"/>
  <c r="AA39" i="59"/>
  <c r="AW39" i="59"/>
  <c r="AY39" i="59"/>
  <c r="BA39" i="59"/>
  <c r="BC39" i="59"/>
  <c r="BD39" i="59"/>
  <c r="BF39" i="59"/>
  <c r="BG39" i="59"/>
  <c r="B40" i="59"/>
  <c r="F40" i="59"/>
  <c r="I40" i="59" s="1"/>
  <c r="J40" i="59" s="1"/>
  <c r="H40" i="59"/>
  <c r="P40" i="59"/>
  <c r="O40" i="59"/>
  <c r="S40" i="59"/>
  <c r="R40" i="59"/>
  <c r="V40" i="59"/>
  <c r="U40" i="59"/>
  <c r="Y40" i="59"/>
  <c r="X40" i="59"/>
  <c r="AB40" i="59"/>
  <c r="AA40" i="59"/>
  <c r="AW40" i="59"/>
  <c r="AY40" i="59"/>
  <c r="BA40" i="59"/>
  <c r="BC40" i="59"/>
  <c r="BD40" i="59"/>
  <c r="BF40" i="59"/>
  <c r="BG40" i="59"/>
  <c r="B41" i="59"/>
  <c r="F41" i="59"/>
  <c r="I41" i="59" s="1"/>
  <c r="H41" i="59"/>
  <c r="P41" i="59"/>
  <c r="O41" i="59"/>
  <c r="S41" i="59"/>
  <c r="R41" i="59"/>
  <c r="V41" i="59"/>
  <c r="U41" i="59"/>
  <c r="Y41" i="59"/>
  <c r="X41" i="59"/>
  <c r="AB41" i="59"/>
  <c r="AA41" i="59"/>
  <c r="AW41" i="59"/>
  <c r="AY41" i="59"/>
  <c r="BA41" i="59"/>
  <c r="BC41" i="59"/>
  <c r="BD41" i="59"/>
  <c r="BF41" i="59"/>
  <c r="BG41" i="59"/>
  <c r="B42" i="59"/>
  <c r="F42" i="59"/>
  <c r="I42" i="59" s="1"/>
  <c r="H42" i="59"/>
  <c r="P42" i="59"/>
  <c r="O42" i="59"/>
  <c r="S42" i="59"/>
  <c r="R42" i="59"/>
  <c r="V42" i="59"/>
  <c r="U42" i="59"/>
  <c r="Y42" i="59"/>
  <c r="X42" i="59"/>
  <c r="AB42" i="59"/>
  <c r="AA42" i="59"/>
  <c r="AW42" i="59"/>
  <c r="AY42" i="59"/>
  <c r="BA42" i="59"/>
  <c r="BC42" i="59"/>
  <c r="BD42" i="59"/>
  <c r="BF42" i="59"/>
  <c r="BG42" i="59"/>
  <c r="B43" i="59"/>
  <c r="D43" i="59"/>
  <c r="G43" i="59"/>
  <c r="F43" i="59"/>
  <c r="I43" i="59" s="1"/>
  <c r="J43" i="59" s="1"/>
  <c r="H43" i="59"/>
  <c r="P43" i="59"/>
  <c r="O43" i="59"/>
  <c r="S43" i="59"/>
  <c r="R43" i="59"/>
  <c r="V43" i="59"/>
  <c r="U43" i="59"/>
  <c r="Y43" i="59"/>
  <c r="X43" i="59"/>
  <c r="AB43" i="59"/>
  <c r="AA43" i="59"/>
  <c r="AW43" i="59"/>
  <c r="AY43" i="59"/>
  <c r="BA43" i="59"/>
  <c r="BC43" i="59"/>
  <c r="BD43" i="59"/>
  <c r="BF43" i="59"/>
  <c r="BG43" i="59"/>
  <c r="B44" i="59"/>
  <c r="F44" i="59"/>
  <c r="I44" i="59" s="1"/>
  <c r="H44" i="59"/>
  <c r="P44" i="59"/>
  <c r="O44" i="59"/>
  <c r="S44" i="59"/>
  <c r="R44" i="59"/>
  <c r="V44" i="59"/>
  <c r="U44" i="59"/>
  <c r="Y44" i="59"/>
  <c r="X44" i="59"/>
  <c r="AB44" i="59"/>
  <c r="AA44" i="59"/>
  <c r="AW44" i="59"/>
  <c r="AY44" i="59"/>
  <c r="BA44" i="59"/>
  <c r="BC44" i="59"/>
  <c r="BD44" i="59"/>
  <c r="BF44" i="59"/>
  <c r="BG44" i="59"/>
  <c r="B45" i="59"/>
  <c r="F45" i="59"/>
  <c r="I45" i="59" s="1"/>
  <c r="K45" i="59" s="1"/>
  <c r="H45" i="59"/>
  <c r="P45" i="59"/>
  <c r="O45" i="59"/>
  <c r="S45" i="59"/>
  <c r="R45" i="59"/>
  <c r="V45" i="59"/>
  <c r="U45" i="59"/>
  <c r="Y45" i="59"/>
  <c r="X45" i="59"/>
  <c r="AB45" i="59"/>
  <c r="AA45" i="59"/>
  <c r="AW45" i="59"/>
  <c r="AY45" i="59"/>
  <c r="BA45" i="59"/>
  <c r="BC45" i="59"/>
  <c r="BD45" i="59"/>
  <c r="BF45" i="59"/>
  <c r="BG45" i="59"/>
  <c r="B46" i="59"/>
  <c r="F46" i="59"/>
  <c r="I46" i="59" s="1"/>
  <c r="J46" i="59" s="1"/>
  <c r="AD46" i="59" s="1"/>
  <c r="K46" i="59"/>
  <c r="G46" i="59"/>
  <c r="H46" i="59"/>
  <c r="P46" i="59"/>
  <c r="O46" i="59"/>
  <c r="S46" i="59"/>
  <c r="R46" i="59"/>
  <c r="V46" i="59"/>
  <c r="U46" i="59"/>
  <c r="Y46" i="59"/>
  <c r="X46" i="59"/>
  <c r="AB46" i="59"/>
  <c r="AA46" i="59"/>
  <c r="AW46" i="59"/>
  <c r="AY46" i="59"/>
  <c r="BA46" i="59"/>
  <c r="BC46" i="59"/>
  <c r="BD46" i="59"/>
  <c r="BF46" i="59"/>
  <c r="BG46" i="59"/>
  <c r="B47" i="59"/>
  <c r="F47" i="59"/>
  <c r="I47" i="59" s="1"/>
  <c r="J47" i="59" s="1"/>
  <c r="AH47" i="59" s="1"/>
  <c r="H47" i="59"/>
  <c r="P47" i="59"/>
  <c r="O47" i="59"/>
  <c r="S47" i="59"/>
  <c r="R47" i="59"/>
  <c r="V47" i="59"/>
  <c r="U47" i="59"/>
  <c r="Y47" i="59"/>
  <c r="X47" i="59"/>
  <c r="AB47" i="59"/>
  <c r="AA47" i="59"/>
  <c r="AW47" i="59"/>
  <c r="AY47" i="59"/>
  <c r="BA47" i="59"/>
  <c r="BC47" i="59"/>
  <c r="BD47" i="59"/>
  <c r="BF47" i="59"/>
  <c r="BG47" i="59"/>
  <c r="B48" i="59"/>
  <c r="F48" i="59"/>
  <c r="I48" i="59" s="1"/>
  <c r="J48" i="59" s="1"/>
  <c r="H48" i="59"/>
  <c r="P48" i="59"/>
  <c r="O48" i="59"/>
  <c r="S48" i="59"/>
  <c r="R48" i="59"/>
  <c r="V48" i="59"/>
  <c r="U48" i="59"/>
  <c r="Y48" i="59"/>
  <c r="X48" i="59"/>
  <c r="AB48" i="59"/>
  <c r="AA48" i="59"/>
  <c r="AW48" i="59"/>
  <c r="AY48" i="59"/>
  <c r="BA48" i="59"/>
  <c r="BC48" i="59"/>
  <c r="BD48" i="59"/>
  <c r="BF48" i="59"/>
  <c r="BG48" i="59"/>
  <c r="B49" i="59"/>
  <c r="F49" i="59"/>
  <c r="I49" i="59"/>
  <c r="H49" i="59"/>
  <c r="P49" i="59"/>
  <c r="O49" i="59"/>
  <c r="S49" i="59"/>
  <c r="R49" i="59"/>
  <c r="V49" i="59"/>
  <c r="U49" i="59"/>
  <c r="Y49" i="59"/>
  <c r="X49" i="59"/>
  <c r="AB49" i="59"/>
  <c r="AA49" i="59"/>
  <c r="AW49" i="59"/>
  <c r="AY49" i="59"/>
  <c r="BA49" i="59"/>
  <c r="BC49" i="59"/>
  <c r="BD49" i="59"/>
  <c r="BF49" i="59"/>
  <c r="BG49" i="59"/>
  <c r="B50" i="59"/>
  <c r="F50" i="59"/>
  <c r="I50" i="59" s="1"/>
  <c r="K50" i="59" s="1"/>
  <c r="H50" i="59"/>
  <c r="P50" i="59"/>
  <c r="O50" i="59"/>
  <c r="S50" i="59"/>
  <c r="R50" i="59"/>
  <c r="V50" i="59"/>
  <c r="U50" i="59"/>
  <c r="Y50" i="59"/>
  <c r="X50" i="59"/>
  <c r="AB50" i="59"/>
  <c r="AA50" i="59"/>
  <c r="AW50" i="59"/>
  <c r="AY50" i="59"/>
  <c r="BA50" i="59"/>
  <c r="BC50" i="59"/>
  <c r="BD50" i="59"/>
  <c r="BF50" i="59"/>
  <c r="BG50" i="59"/>
  <c r="B51" i="59"/>
  <c r="F51" i="59"/>
  <c r="I51" i="59" s="1"/>
  <c r="K51" i="59" s="1"/>
  <c r="Q51" i="59" s="1"/>
  <c r="H51" i="59"/>
  <c r="P51" i="59"/>
  <c r="O51" i="59"/>
  <c r="S51" i="59"/>
  <c r="R51" i="59"/>
  <c r="V51" i="59"/>
  <c r="U51" i="59"/>
  <c r="Y51" i="59"/>
  <c r="X51" i="59"/>
  <c r="AB51" i="59"/>
  <c r="AA51" i="59"/>
  <c r="AW51" i="59"/>
  <c r="AY51" i="59"/>
  <c r="BA51" i="59"/>
  <c r="BC51" i="59"/>
  <c r="BD51" i="59"/>
  <c r="BF51" i="59"/>
  <c r="BG51" i="59"/>
  <c r="B52" i="59"/>
  <c r="G52" i="59"/>
  <c r="F52" i="59"/>
  <c r="I52" i="59" s="1"/>
  <c r="H52" i="59"/>
  <c r="P52" i="59"/>
  <c r="O52" i="59"/>
  <c r="S52" i="59"/>
  <c r="R52" i="59"/>
  <c r="V52" i="59"/>
  <c r="U52" i="59"/>
  <c r="Y52" i="59"/>
  <c r="X52" i="59"/>
  <c r="AB52" i="59"/>
  <c r="AA52" i="59"/>
  <c r="AW52" i="59"/>
  <c r="AY52" i="59"/>
  <c r="BA52" i="59"/>
  <c r="BC52" i="59"/>
  <c r="BD52" i="59"/>
  <c r="BF52" i="59"/>
  <c r="BG52" i="59"/>
  <c r="L54" i="59"/>
  <c r="AY53" i="59"/>
  <c r="AZ54" i="59"/>
  <c r="M54" i="59"/>
  <c r="BB54" i="59"/>
  <c r="BE54" i="59"/>
  <c r="J57" i="59"/>
  <c r="AX60" i="59"/>
  <c r="K63" i="59"/>
  <c r="L63" i="59"/>
  <c r="M63" i="59"/>
  <c r="N63" i="59"/>
  <c r="O63" i="59"/>
  <c r="K64" i="59"/>
  <c r="L64" i="59"/>
  <c r="M64" i="59"/>
  <c r="N64" i="59"/>
  <c r="O64" i="59"/>
  <c r="B2" i="60"/>
  <c r="A3" i="60"/>
  <c r="B3" i="60"/>
  <c r="A4" i="60"/>
  <c r="B4" i="60"/>
  <c r="A5" i="60"/>
  <c r="B5" i="60"/>
  <c r="A6" i="60"/>
  <c r="B6" i="60"/>
  <c r="U12" i="60"/>
  <c r="U14" i="60"/>
  <c r="A7" i="60"/>
  <c r="B7" i="60"/>
  <c r="A8" i="60"/>
  <c r="B8" i="60"/>
  <c r="A9" i="60"/>
  <c r="B9" i="60"/>
  <c r="A10" i="60"/>
  <c r="B10" i="60"/>
  <c r="A11" i="60"/>
  <c r="B11" i="60"/>
  <c r="A12" i="60"/>
  <c r="B12" i="60"/>
  <c r="A13" i="60"/>
  <c r="B13" i="60"/>
  <c r="A14" i="60"/>
  <c r="B14" i="60"/>
  <c r="A15" i="60"/>
  <c r="B15" i="60"/>
  <c r="A16" i="60"/>
  <c r="B16" i="60"/>
  <c r="V16" i="60"/>
  <c r="A17" i="60"/>
  <c r="B17" i="60"/>
  <c r="A18" i="60"/>
  <c r="B18" i="60"/>
  <c r="A19" i="60"/>
  <c r="B19" i="60"/>
  <c r="A20" i="60"/>
  <c r="B20" i="60"/>
  <c r="A21" i="60"/>
  <c r="B21" i="60"/>
  <c r="A22" i="60"/>
  <c r="B22" i="60"/>
  <c r="A23" i="60"/>
  <c r="B23" i="60"/>
  <c r="A24" i="60"/>
  <c r="B24" i="60"/>
  <c r="A25" i="60"/>
  <c r="B25" i="60"/>
  <c r="A26" i="60"/>
  <c r="B26" i="60"/>
  <c r="A27" i="60"/>
  <c r="B27" i="60"/>
  <c r="A28" i="60"/>
  <c r="B28" i="60"/>
  <c r="A29" i="60"/>
  <c r="B29" i="60"/>
  <c r="A30" i="60"/>
  <c r="B30" i="60"/>
  <c r="A31" i="60"/>
  <c r="B31" i="60"/>
  <c r="A32" i="60"/>
  <c r="B32" i="60"/>
  <c r="A33" i="60"/>
  <c r="B33" i="60"/>
  <c r="A34" i="60"/>
  <c r="B34" i="60"/>
  <c r="A35" i="60"/>
  <c r="B35" i="60"/>
  <c r="A36" i="60"/>
  <c r="B36" i="60"/>
  <c r="A37" i="60"/>
  <c r="B37" i="60"/>
  <c r="A38" i="60"/>
  <c r="B38" i="60"/>
  <c r="C6" i="55"/>
  <c r="C7" i="55"/>
  <c r="C8" i="55"/>
  <c r="J8" i="55"/>
  <c r="K8" i="55"/>
  <c r="C9" i="55"/>
  <c r="N9" i="55"/>
  <c r="D20" i="56"/>
  <c r="G20" i="56"/>
  <c r="C10" i="55"/>
  <c r="J10" i="55"/>
  <c r="K10" i="55"/>
  <c r="M10" i="55"/>
  <c r="N10" i="55"/>
  <c r="C11" i="55"/>
  <c r="J11" i="55"/>
  <c r="K11" i="55"/>
  <c r="M11" i="55"/>
  <c r="N11" i="55"/>
  <c r="D22" i="56"/>
  <c r="G22" i="56"/>
  <c r="C12" i="55"/>
  <c r="J12" i="55"/>
  <c r="K12" i="55"/>
  <c r="M12" i="55"/>
  <c r="N12" i="55"/>
  <c r="D23" i="56"/>
  <c r="G23" i="56"/>
  <c r="C13" i="55"/>
  <c r="J13" i="55"/>
  <c r="K13" i="55"/>
  <c r="M13" i="55"/>
  <c r="N13" i="55"/>
  <c r="C14" i="55"/>
  <c r="J14" i="55"/>
  <c r="K14" i="55"/>
  <c r="M14" i="55"/>
  <c r="N14" i="55"/>
  <c r="D25" i="56"/>
  <c r="G25" i="56"/>
  <c r="C15" i="55"/>
  <c r="J15" i="55"/>
  <c r="K15" i="55"/>
  <c r="M15" i="55"/>
  <c r="N15" i="55"/>
  <c r="D26" i="56"/>
  <c r="C16" i="55"/>
  <c r="J16" i="55"/>
  <c r="K16" i="55"/>
  <c r="M16" i="55"/>
  <c r="N16" i="55"/>
  <c r="D27" i="56"/>
  <c r="G27" i="56"/>
  <c r="C17" i="55"/>
  <c r="J17" i="55"/>
  <c r="K17" i="55"/>
  <c r="M17" i="55"/>
  <c r="N17" i="55"/>
  <c r="D28" i="56"/>
  <c r="G28" i="56"/>
  <c r="C18" i="55"/>
  <c r="J18" i="55"/>
  <c r="K18" i="55"/>
  <c r="M18" i="55"/>
  <c r="N18" i="55"/>
  <c r="D29" i="56"/>
  <c r="C19" i="55"/>
  <c r="J19" i="55"/>
  <c r="K19" i="55"/>
  <c r="M19" i="55"/>
  <c r="N19" i="55"/>
  <c r="D30" i="56"/>
  <c r="G30" i="56"/>
  <c r="C20" i="55"/>
  <c r="N20" i="55"/>
  <c r="C21" i="55"/>
  <c r="J21" i="55"/>
  <c r="K21" i="55"/>
  <c r="M21" i="55"/>
  <c r="N21" i="55"/>
  <c r="D32" i="56"/>
  <c r="G32" i="56"/>
  <c r="C22" i="55"/>
  <c r="J22" i="55"/>
  <c r="K22" i="55"/>
  <c r="M22" i="55"/>
  <c r="N22" i="55"/>
  <c r="D33" i="56"/>
  <c r="G33" i="56"/>
  <c r="C23" i="55"/>
  <c r="J23" i="55"/>
  <c r="K23" i="55"/>
  <c r="M23" i="55"/>
  <c r="N23" i="55"/>
  <c r="D34" i="56"/>
  <c r="G34" i="56"/>
  <c r="C24" i="55"/>
  <c r="J24" i="55"/>
  <c r="K24" i="55"/>
  <c r="M24" i="55"/>
  <c r="N24" i="55"/>
  <c r="D35" i="56"/>
  <c r="G35" i="56"/>
  <c r="C25" i="55"/>
  <c r="J25" i="55"/>
  <c r="K25" i="55"/>
  <c r="M25" i="55"/>
  <c r="N25" i="55"/>
  <c r="D36" i="56"/>
  <c r="G36" i="56"/>
  <c r="C26" i="55"/>
  <c r="J26" i="55"/>
  <c r="K26" i="55"/>
  <c r="M26" i="55"/>
  <c r="N26" i="55"/>
  <c r="D37" i="56"/>
  <c r="G37" i="56"/>
  <c r="C27" i="55"/>
  <c r="J27" i="55"/>
  <c r="K27" i="55"/>
  <c r="M27" i="55"/>
  <c r="N27" i="55"/>
  <c r="D38" i="56"/>
  <c r="G38" i="56"/>
  <c r="C28" i="55"/>
  <c r="J28" i="55"/>
  <c r="K28" i="55"/>
  <c r="M28" i="55"/>
  <c r="N28" i="55"/>
  <c r="D39" i="56"/>
  <c r="G39" i="56"/>
  <c r="C29" i="55"/>
  <c r="J29" i="55"/>
  <c r="K29" i="55"/>
  <c r="M29" i="55"/>
  <c r="N29" i="55"/>
  <c r="D40" i="56"/>
  <c r="G40" i="56"/>
  <c r="C30" i="55"/>
  <c r="J30" i="55"/>
  <c r="K30" i="55"/>
  <c r="M30" i="55"/>
  <c r="N30" i="55"/>
  <c r="D41" i="56"/>
  <c r="G41" i="56"/>
  <c r="C31" i="55"/>
  <c r="J31" i="55"/>
  <c r="K31" i="55"/>
  <c r="M31" i="55"/>
  <c r="N31" i="55"/>
  <c r="D42" i="56"/>
  <c r="G42" i="56"/>
  <c r="C32" i="55"/>
  <c r="J32" i="55"/>
  <c r="K32" i="55"/>
  <c r="M32" i="55"/>
  <c r="N32" i="55"/>
  <c r="D43" i="56"/>
  <c r="G43" i="56"/>
  <c r="C33" i="55"/>
  <c r="J33" i="55"/>
  <c r="K33" i="55"/>
  <c r="M33" i="55"/>
  <c r="N33" i="55"/>
  <c r="D44" i="56"/>
  <c r="G44" i="56"/>
  <c r="C34" i="55"/>
  <c r="J34" i="55"/>
  <c r="K34" i="55"/>
  <c r="M34" i="55"/>
  <c r="N34" i="55"/>
  <c r="D45" i="56"/>
  <c r="G45" i="56"/>
  <c r="C35" i="55"/>
  <c r="J35" i="55"/>
  <c r="K35" i="55"/>
  <c r="M35" i="55"/>
  <c r="N35" i="55"/>
  <c r="C36" i="55"/>
  <c r="J36" i="55"/>
  <c r="K36" i="55"/>
  <c r="M36" i="55"/>
  <c r="N36" i="55"/>
  <c r="D47" i="56"/>
  <c r="G47" i="56"/>
  <c r="C37" i="55"/>
  <c r="J37" i="55"/>
  <c r="K37" i="55"/>
  <c r="M37" i="55"/>
  <c r="N37" i="55"/>
  <c r="D48" i="56"/>
  <c r="G48" i="56"/>
  <c r="C38" i="55"/>
  <c r="J38" i="55"/>
  <c r="K38" i="55"/>
  <c r="M38" i="55"/>
  <c r="N38" i="55"/>
  <c r="D49" i="56"/>
  <c r="G49" i="56"/>
  <c r="C39" i="55"/>
  <c r="J39" i="55"/>
  <c r="K39" i="55"/>
  <c r="M39" i="55"/>
  <c r="N39" i="55"/>
  <c r="D50" i="56"/>
  <c r="G50" i="56"/>
  <c r="C40" i="55"/>
  <c r="J40" i="55"/>
  <c r="K40" i="55"/>
  <c r="M40" i="55"/>
  <c r="N40" i="55"/>
  <c r="D51" i="56"/>
  <c r="G51" i="56"/>
  <c r="C41" i="55"/>
  <c r="J41" i="55"/>
  <c r="K41" i="55"/>
  <c r="M41" i="55"/>
  <c r="N41" i="55"/>
  <c r="D52" i="56"/>
  <c r="G52" i="56"/>
  <c r="D42" i="55"/>
  <c r="D43" i="55"/>
  <c r="E42" i="55"/>
  <c r="E43" i="55"/>
  <c r="F42" i="55"/>
  <c r="F43" i="55"/>
  <c r="G42" i="55"/>
  <c r="G43" i="55"/>
  <c r="H42" i="55"/>
  <c r="H43" i="55"/>
  <c r="I42" i="55"/>
  <c r="I43" i="55"/>
  <c r="L43" i="55"/>
  <c r="J1" i="56"/>
  <c r="U1" i="56"/>
  <c r="U2" i="56"/>
  <c r="E7" i="56"/>
  <c r="B17" i="56"/>
  <c r="B52" i="56"/>
  <c r="B51" i="56"/>
  <c r="B50" i="56"/>
  <c r="B49" i="56"/>
  <c r="B48" i="56"/>
  <c r="B47" i="56"/>
  <c r="B46" i="56"/>
  <c r="B45" i="56"/>
  <c r="B44" i="56"/>
  <c r="B43" i="56"/>
  <c r="B42" i="56"/>
  <c r="B41" i="56"/>
  <c r="B40" i="56"/>
  <c r="B39" i="56"/>
  <c r="B38" i="56"/>
  <c r="B37" i="56"/>
  <c r="B36" i="56"/>
  <c r="B35" i="56"/>
  <c r="B34" i="56"/>
  <c r="B33" i="56"/>
  <c r="B32" i="56"/>
  <c r="B31" i="56"/>
  <c r="B30" i="56"/>
  <c r="B29" i="56"/>
  <c r="B28" i="56"/>
  <c r="B27" i="56"/>
  <c r="B26" i="56"/>
  <c r="B25" i="56"/>
  <c r="B24" i="56"/>
  <c r="B23" i="56"/>
  <c r="B22" i="56"/>
  <c r="B54" i="56"/>
  <c r="B21" i="56"/>
  <c r="B20" i="56"/>
  <c r="B19" i="56"/>
  <c r="B18" i="56"/>
  <c r="P17" i="56"/>
  <c r="O17" i="56"/>
  <c r="S17" i="56"/>
  <c r="R17" i="56"/>
  <c r="V17" i="56"/>
  <c r="Y17" i="56"/>
  <c r="X17" i="56"/>
  <c r="AB17" i="56"/>
  <c r="AA17" i="56"/>
  <c r="AW17" i="56"/>
  <c r="AY17" i="56"/>
  <c r="BA17" i="56"/>
  <c r="BC17" i="56"/>
  <c r="BD17" i="56"/>
  <c r="BF17" i="56"/>
  <c r="BG17" i="56"/>
  <c r="P18" i="56"/>
  <c r="O18" i="56"/>
  <c r="S18" i="56"/>
  <c r="U8" i="57"/>
  <c r="R18" i="56"/>
  <c r="V18" i="56"/>
  <c r="U18" i="56"/>
  <c r="Y18" i="56"/>
  <c r="X18" i="56"/>
  <c r="AB18" i="56"/>
  <c r="AA18" i="56"/>
  <c r="AW18" i="56"/>
  <c r="AY18" i="56"/>
  <c r="BA18" i="56"/>
  <c r="BC18" i="56"/>
  <c r="BD18" i="56"/>
  <c r="BF18" i="56"/>
  <c r="BG18" i="56"/>
  <c r="H19" i="56"/>
  <c r="I19" i="56"/>
  <c r="K19" i="56" s="1"/>
  <c r="P19" i="56"/>
  <c r="O19" i="56"/>
  <c r="S19" i="56"/>
  <c r="R19" i="56"/>
  <c r="V19" i="56"/>
  <c r="U19" i="56"/>
  <c r="Y19" i="56"/>
  <c r="X19" i="56"/>
  <c r="AB19" i="56"/>
  <c r="AA19" i="56"/>
  <c r="AW19" i="56"/>
  <c r="AY19" i="56"/>
  <c r="BA19" i="56"/>
  <c r="BC19" i="56"/>
  <c r="BD19" i="56"/>
  <c r="BF19" i="56"/>
  <c r="BG19" i="56"/>
  <c r="P20" i="56"/>
  <c r="O20" i="56"/>
  <c r="S20" i="56"/>
  <c r="R20" i="56"/>
  <c r="V20" i="56"/>
  <c r="U20" i="56"/>
  <c r="Y20" i="56"/>
  <c r="X20" i="56"/>
  <c r="AB20" i="56"/>
  <c r="AA20" i="56"/>
  <c r="AW20" i="56"/>
  <c r="AY20" i="56"/>
  <c r="BA20" i="56"/>
  <c r="BC20" i="56"/>
  <c r="BD20" i="56"/>
  <c r="BF20" i="56"/>
  <c r="BG20" i="56"/>
  <c r="D21" i="56"/>
  <c r="G21" i="56"/>
  <c r="F21" i="56"/>
  <c r="I21" i="56" s="1"/>
  <c r="K21" i="56" s="1"/>
  <c r="W21" i="56" s="1"/>
  <c r="H21" i="56"/>
  <c r="P21" i="56"/>
  <c r="O21" i="56"/>
  <c r="S21" i="56"/>
  <c r="R21" i="56"/>
  <c r="V21" i="56"/>
  <c r="U21" i="56"/>
  <c r="Y21" i="56"/>
  <c r="X21" i="56"/>
  <c r="AB21" i="56"/>
  <c r="AA21" i="56"/>
  <c r="AW21" i="56"/>
  <c r="AY21" i="56"/>
  <c r="BA21" i="56"/>
  <c r="BC21" i="56"/>
  <c r="BD21" i="56"/>
  <c r="BF21" i="56"/>
  <c r="BG21" i="56"/>
  <c r="F22" i="56"/>
  <c r="I22" i="56" s="1"/>
  <c r="J22" i="56" s="1"/>
  <c r="H22" i="56"/>
  <c r="P22" i="56"/>
  <c r="O22" i="56"/>
  <c r="S22" i="56"/>
  <c r="R22" i="56"/>
  <c r="V22" i="56"/>
  <c r="U22" i="56"/>
  <c r="Y22" i="56"/>
  <c r="X22" i="56"/>
  <c r="AB22" i="56"/>
  <c r="AA22" i="56"/>
  <c r="AW22" i="56"/>
  <c r="AY22" i="56"/>
  <c r="BA22" i="56"/>
  <c r="BC22" i="56"/>
  <c r="BD22" i="56"/>
  <c r="BF22" i="56"/>
  <c r="BG22" i="56"/>
  <c r="F23" i="56"/>
  <c r="I23" i="56" s="1"/>
  <c r="H23" i="56"/>
  <c r="P23" i="56"/>
  <c r="O23" i="56"/>
  <c r="S23" i="56"/>
  <c r="R23" i="56"/>
  <c r="V23" i="56"/>
  <c r="U23" i="56"/>
  <c r="Y23" i="56"/>
  <c r="X23" i="56"/>
  <c r="AB23" i="56"/>
  <c r="AA23" i="56"/>
  <c r="AW23" i="56"/>
  <c r="AY23" i="56"/>
  <c r="BA23" i="56"/>
  <c r="BC23" i="56"/>
  <c r="BD23" i="56"/>
  <c r="BF23" i="56"/>
  <c r="BG23" i="56"/>
  <c r="D24" i="56"/>
  <c r="G24" i="56"/>
  <c r="F24" i="56"/>
  <c r="I24" i="56" s="1"/>
  <c r="J24" i="56" s="1"/>
  <c r="AM24" i="56" s="1"/>
  <c r="H24" i="56"/>
  <c r="P24" i="56"/>
  <c r="O24" i="56"/>
  <c r="S24" i="56"/>
  <c r="R24" i="56"/>
  <c r="V24" i="56"/>
  <c r="U24" i="56"/>
  <c r="Y24" i="56"/>
  <c r="X24" i="56"/>
  <c r="AB24" i="56"/>
  <c r="AA24" i="56"/>
  <c r="AW24" i="56"/>
  <c r="AY24" i="56"/>
  <c r="BA24" i="56"/>
  <c r="BC24" i="56"/>
  <c r="BD24" i="56"/>
  <c r="BF24" i="56"/>
  <c r="BG24" i="56"/>
  <c r="F25" i="56"/>
  <c r="I25" i="56" s="1"/>
  <c r="H25" i="56"/>
  <c r="P25" i="56"/>
  <c r="O25" i="56"/>
  <c r="S25" i="56"/>
  <c r="R25" i="56"/>
  <c r="V25" i="56"/>
  <c r="U25" i="56"/>
  <c r="Y25" i="56"/>
  <c r="X25" i="56"/>
  <c r="AB25" i="56"/>
  <c r="AA25" i="56"/>
  <c r="AW25" i="56"/>
  <c r="AY25" i="56"/>
  <c r="BA25" i="56"/>
  <c r="BC25" i="56"/>
  <c r="BD25" i="56"/>
  <c r="BF25" i="56"/>
  <c r="BG25" i="56"/>
  <c r="F26" i="56"/>
  <c r="I26" i="56" s="1"/>
  <c r="G26" i="56"/>
  <c r="H26" i="56"/>
  <c r="P26" i="56"/>
  <c r="O26" i="56"/>
  <c r="S26" i="56"/>
  <c r="R26" i="56"/>
  <c r="V26" i="56"/>
  <c r="U26" i="56"/>
  <c r="Y26" i="56"/>
  <c r="X26" i="56"/>
  <c r="AB26" i="56"/>
  <c r="AA26" i="56"/>
  <c r="AW26" i="56"/>
  <c r="AY26" i="56"/>
  <c r="BA26" i="56"/>
  <c r="BC26" i="56"/>
  <c r="BD26" i="56"/>
  <c r="BF26" i="56"/>
  <c r="BG26" i="56"/>
  <c r="F27" i="56"/>
  <c r="I27" i="56" s="1"/>
  <c r="H27" i="56"/>
  <c r="P27" i="56"/>
  <c r="O27" i="56"/>
  <c r="S27" i="56"/>
  <c r="R27" i="56"/>
  <c r="V27" i="56"/>
  <c r="U27" i="56"/>
  <c r="Y27" i="56"/>
  <c r="X27" i="56"/>
  <c r="AB27" i="56"/>
  <c r="AA27" i="56"/>
  <c r="AW27" i="56"/>
  <c r="AY27" i="56"/>
  <c r="BA27" i="56"/>
  <c r="BC27" i="56"/>
  <c r="BD27" i="56"/>
  <c r="BF27" i="56"/>
  <c r="BG27" i="56"/>
  <c r="F28" i="56"/>
  <c r="I28" i="56" s="1"/>
  <c r="J28" i="56" s="1"/>
  <c r="AH28" i="56" s="1"/>
  <c r="H28" i="56"/>
  <c r="P28" i="56"/>
  <c r="O28" i="56"/>
  <c r="S28" i="56"/>
  <c r="R28" i="56"/>
  <c r="V28" i="56"/>
  <c r="U28" i="56"/>
  <c r="Y28" i="56"/>
  <c r="X28" i="56"/>
  <c r="AB28" i="56"/>
  <c r="AA28" i="56"/>
  <c r="AW28" i="56"/>
  <c r="AY28" i="56"/>
  <c r="BA28" i="56"/>
  <c r="BC28" i="56"/>
  <c r="BD28" i="56"/>
  <c r="BF28" i="56"/>
  <c r="BG28" i="56"/>
  <c r="G29" i="56"/>
  <c r="F29" i="56"/>
  <c r="I29" i="56" s="1"/>
  <c r="K29" i="56" s="1"/>
  <c r="H29" i="56"/>
  <c r="P29" i="56"/>
  <c r="O29" i="56"/>
  <c r="S29" i="56"/>
  <c r="R29" i="56"/>
  <c r="V29" i="56"/>
  <c r="U29" i="56"/>
  <c r="Y29" i="56"/>
  <c r="X29" i="56"/>
  <c r="AB29" i="56"/>
  <c r="AA29" i="56"/>
  <c r="AW29" i="56"/>
  <c r="AY29" i="56"/>
  <c r="BA29" i="56"/>
  <c r="BC29" i="56"/>
  <c r="BD29" i="56"/>
  <c r="BF29" i="56"/>
  <c r="BG29" i="56"/>
  <c r="F30" i="56"/>
  <c r="I30" i="56" s="1"/>
  <c r="K30" i="56" s="1"/>
  <c r="H30" i="56"/>
  <c r="P30" i="56"/>
  <c r="O30" i="56"/>
  <c r="S30" i="56"/>
  <c r="R30" i="56"/>
  <c r="V30" i="56"/>
  <c r="U30" i="56"/>
  <c r="Y30" i="56"/>
  <c r="X30" i="56"/>
  <c r="AB30" i="56"/>
  <c r="AA30" i="56"/>
  <c r="AW30" i="56"/>
  <c r="AY30" i="56"/>
  <c r="BA30" i="56"/>
  <c r="BC30" i="56"/>
  <c r="BD30" i="56"/>
  <c r="BF30" i="56"/>
  <c r="BG30" i="56"/>
  <c r="D31" i="56"/>
  <c r="G31" i="56"/>
  <c r="H31" i="56"/>
  <c r="P31" i="56"/>
  <c r="O31" i="56"/>
  <c r="S31" i="56"/>
  <c r="R31" i="56"/>
  <c r="V31" i="56"/>
  <c r="U31" i="56"/>
  <c r="Y31" i="56"/>
  <c r="X31" i="56"/>
  <c r="AB31" i="56"/>
  <c r="AA31" i="56"/>
  <c r="AW31" i="56"/>
  <c r="AY31" i="56"/>
  <c r="BA31" i="56"/>
  <c r="BC31" i="56"/>
  <c r="BD31" i="56"/>
  <c r="BF31" i="56"/>
  <c r="BG31" i="56"/>
  <c r="F32" i="56"/>
  <c r="I32" i="56" s="1"/>
  <c r="K32" i="56" s="1"/>
  <c r="W32" i="56" s="1"/>
  <c r="H32" i="56"/>
  <c r="P32" i="56"/>
  <c r="O32" i="56"/>
  <c r="S32" i="56"/>
  <c r="R32" i="56"/>
  <c r="V32" i="56"/>
  <c r="U32" i="56"/>
  <c r="Y32" i="56"/>
  <c r="X32" i="56"/>
  <c r="AB32" i="56"/>
  <c r="AA32" i="56"/>
  <c r="AW32" i="56"/>
  <c r="AY32" i="56"/>
  <c r="BA32" i="56"/>
  <c r="BC32" i="56"/>
  <c r="BD32" i="56"/>
  <c r="BF32" i="56"/>
  <c r="BG32" i="56"/>
  <c r="F33" i="56"/>
  <c r="I33" i="56" s="1"/>
  <c r="K33" i="56" s="1"/>
  <c r="Q33" i="56" s="1"/>
  <c r="H33" i="56"/>
  <c r="P33" i="56"/>
  <c r="O33" i="56"/>
  <c r="S33" i="56"/>
  <c r="R33" i="56"/>
  <c r="V33" i="56"/>
  <c r="U33" i="56"/>
  <c r="Y33" i="56"/>
  <c r="X33" i="56"/>
  <c r="AB33" i="56"/>
  <c r="AA33" i="56"/>
  <c r="AW33" i="56"/>
  <c r="AY33" i="56"/>
  <c r="BA33" i="56"/>
  <c r="BC33" i="56"/>
  <c r="BD33" i="56"/>
  <c r="BF33" i="56"/>
  <c r="BG33" i="56"/>
  <c r="F34" i="56"/>
  <c r="I34" i="56" s="1"/>
  <c r="H34" i="56"/>
  <c r="P34" i="56"/>
  <c r="O34" i="56"/>
  <c r="S34" i="56"/>
  <c r="R34" i="56"/>
  <c r="V34" i="56"/>
  <c r="U34" i="56"/>
  <c r="Y34" i="56"/>
  <c r="X34" i="56"/>
  <c r="AB34" i="56"/>
  <c r="AA34" i="56"/>
  <c r="AW34" i="56"/>
  <c r="AY34" i="56"/>
  <c r="BA34" i="56"/>
  <c r="BC34" i="56"/>
  <c r="BD34" i="56"/>
  <c r="BF34" i="56"/>
  <c r="BG34" i="56"/>
  <c r="F35" i="56"/>
  <c r="I35" i="56" s="1"/>
  <c r="J35" i="56" s="1"/>
  <c r="AE35" i="56" s="1"/>
  <c r="H35" i="56"/>
  <c r="P35" i="56"/>
  <c r="O35" i="56"/>
  <c r="S35" i="56"/>
  <c r="R35" i="56"/>
  <c r="V35" i="56"/>
  <c r="U35" i="56"/>
  <c r="Y35" i="56"/>
  <c r="X35" i="56"/>
  <c r="AB35" i="56"/>
  <c r="AA35" i="56"/>
  <c r="AW35" i="56"/>
  <c r="AY35" i="56"/>
  <c r="BA35" i="56"/>
  <c r="BC35" i="56"/>
  <c r="BD35" i="56"/>
  <c r="BF35" i="56"/>
  <c r="BG35" i="56"/>
  <c r="F36" i="56"/>
  <c r="I36" i="56" s="1"/>
  <c r="K36" i="56" s="1"/>
  <c r="AC36" i="56" s="1"/>
  <c r="H36" i="56"/>
  <c r="P36" i="56"/>
  <c r="O36" i="56"/>
  <c r="S36" i="56"/>
  <c r="R36" i="56"/>
  <c r="V36" i="56"/>
  <c r="U36" i="56"/>
  <c r="Y36" i="56"/>
  <c r="X36" i="56"/>
  <c r="AB36" i="56"/>
  <c r="AA36" i="56"/>
  <c r="AW36" i="56"/>
  <c r="AY36" i="56"/>
  <c r="BA36" i="56"/>
  <c r="BC36" i="56"/>
  <c r="BD36" i="56"/>
  <c r="BF36" i="56"/>
  <c r="BG36" i="56"/>
  <c r="F37" i="56"/>
  <c r="I37" i="56" s="1"/>
  <c r="H37" i="56"/>
  <c r="P37" i="56"/>
  <c r="O37" i="56"/>
  <c r="S37" i="56"/>
  <c r="R37" i="56"/>
  <c r="V37" i="56"/>
  <c r="U37" i="56"/>
  <c r="Y37" i="56"/>
  <c r="X37" i="56"/>
  <c r="AB37" i="56"/>
  <c r="AA37" i="56"/>
  <c r="AW37" i="56"/>
  <c r="AY37" i="56"/>
  <c r="BA37" i="56"/>
  <c r="BC37" i="56"/>
  <c r="BD37" i="56"/>
  <c r="BF37" i="56"/>
  <c r="BG37" i="56"/>
  <c r="F38" i="56"/>
  <c r="I38" i="56" s="1"/>
  <c r="H38" i="56"/>
  <c r="P38" i="56"/>
  <c r="O38" i="56"/>
  <c r="S38" i="56"/>
  <c r="R38" i="56"/>
  <c r="V38" i="56"/>
  <c r="U38" i="56"/>
  <c r="Y38" i="56"/>
  <c r="X38" i="56"/>
  <c r="AB38" i="56"/>
  <c r="AA38" i="56"/>
  <c r="AW38" i="56"/>
  <c r="AY38" i="56"/>
  <c r="BA38" i="56"/>
  <c r="BC38" i="56"/>
  <c r="BD38" i="56"/>
  <c r="BF38" i="56"/>
  <c r="BG38" i="56"/>
  <c r="F39" i="56"/>
  <c r="I39" i="56" s="1"/>
  <c r="H39" i="56"/>
  <c r="P39" i="56"/>
  <c r="O39" i="56"/>
  <c r="S39" i="56"/>
  <c r="R39" i="56"/>
  <c r="V39" i="56"/>
  <c r="U39" i="56"/>
  <c r="Y39" i="56"/>
  <c r="X39" i="56"/>
  <c r="AB39" i="56"/>
  <c r="AA39" i="56"/>
  <c r="AW39" i="56"/>
  <c r="AY39" i="56"/>
  <c r="BA39" i="56"/>
  <c r="BC39" i="56"/>
  <c r="BD39" i="56"/>
  <c r="BF39" i="56"/>
  <c r="BG39" i="56"/>
  <c r="F40" i="56"/>
  <c r="I40" i="56" s="1"/>
  <c r="H40" i="56"/>
  <c r="P40" i="56"/>
  <c r="O40" i="56"/>
  <c r="S40" i="56"/>
  <c r="R40" i="56"/>
  <c r="V40" i="56"/>
  <c r="U40" i="56"/>
  <c r="Y40" i="56"/>
  <c r="X40" i="56"/>
  <c r="AB40" i="56"/>
  <c r="AA40" i="56"/>
  <c r="AW40" i="56"/>
  <c r="AY40" i="56"/>
  <c r="BA40" i="56"/>
  <c r="BC40" i="56"/>
  <c r="BD40" i="56"/>
  <c r="BF40" i="56"/>
  <c r="BG40" i="56"/>
  <c r="F41" i="56"/>
  <c r="I41" i="56" s="1"/>
  <c r="H41" i="56"/>
  <c r="P41" i="56"/>
  <c r="O41" i="56"/>
  <c r="S41" i="56"/>
  <c r="R41" i="56"/>
  <c r="V41" i="56"/>
  <c r="U41" i="56"/>
  <c r="Y41" i="56"/>
  <c r="X41" i="56"/>
  <c r="AB41" i="56"/>
  <c r="AA41" i="56"/>
  <c r="AW41" i="56"/>
  <c r="AY41" i="56"/>
  <c r="BA41" i="56"/>
  <c r="BC41" i="56"/>
  <c r="BD41" i="56"/>
  <c r="BF41" i="56"/>
  <c r="BG41" i="56"/>
  <c r="F42" i="56"/>
  <c r="I42" i="56" s="1"/>
  <c r="K42" i="56" s="1"/>
  <c r="AC42" i="56" s="1"/>
  <c r="H42" i="56"/>
  <c r="P42" i="56"/>
  <c r="O42" i="56"/>
  <c r="S42" i="56"/>
  <c r="R42" i="56"/>
  <c r="V42" i="56"/>
  <c r="U42" i="56"/>
  <c r="Y42" i="56"/>
  <c r="X42" i="56"/>
  <c r="AB42" i="56"/>
  <c r="AA42" i="56"/>
  <c r="AW42" i="56"/>
  <c r="AY42" i="56"/>
  <c r="BA42" i="56"/>
  <c r="BC42" i="56"/>
  <c r="BD42" i="56"/>
  <c r="BF42" i="56"/>
  <c r="BG42" i="56"/>
  <c r="F43" i="56"/>
  <c r="I43" i="56" s="1"/>
  <c r="J43" i="56" s="1"/>
  <c r="AG43" i="56" s="1"/>
  <c r="H43" i="56"/>
  <c r="P43" i="56"/>
  <c r="O43" i="56"/>
  <c r="S43" i="56"/>
  <c r="R43" i="56"/>
  <c r="V43" i="56"/>
  <c r="U43" i="56"/>
  <c r="Y43" i="56"/>
  <c r="X43" i="56"/>
  <c r="AB43" i="56"/>
  <c r="AA43" i="56"/>
  <c r="AW43" i="56"/>
  <c r="AY43" i="56"/>
  <c r="BA43" i="56"/>
  <c r="BC43" i="56"/>
  <c r="BD43" i="56"/>
  <c r="BF43" i="56"/>
  <c r="BG43" i="56"/>
  <c r="F44" i="56"/>
  <c r="I44" i="56" s="1"/>
  <c r="J44" i="56" s="1"/>
  <c r="AF44" i="56" s="1"/>
  <c r="H44" i="56"/>
  <c r="P44" i="56"/>
  <c r="O44" i="56"/>
  <c r="S44" i="56"/>
  <c r="R44" i="56"/>
  <c r="V44" i="56"/>
  <c r="U44" i="56"/>
  <c r="Y44" i="56"/>
  <c r="X44" i="56"/>
  <c r="AB44" i="56"/>
  <c r="AA44" i="56"/>
  <c r="AW44" i="56"/>
  <c r="AX44" i="56"/>
  <c r="AY44" i="56"/>
  <c r="BA44" i="56"/>
  <c r="BC44" i="56"/>
  <c r="BD44" i="56"/>
  <c r="BF44" i="56"/>
  <c r="BG44" i="56"/>
  <c r="F45" i="56"/>
  <c r="I45" i="56"/>
  <c r="J45" i="56" s="1"/>
  <c r="AM45" i="56" s="1"/>
  <c r="H45" i="56"/>
  <c r="P45" i="56"/>
  <c r="O45" i="56"/>
  <c r="S45" i="56"/>
  <c r="R45" i="56"/>
  <c r="V45" i="56"/>
  <c r="U45" i="56"/>
  <c r="Y45" i="56"/>
  <c r="X45" i="56"/>
  <c r="AB45" i="56"/>
  <c r="AA45" i="56"/>
  <c r="AW45" i="56"/>
  <c r="AX45" i="56"/>
  <c r="AY45" i="56"/>
  <c r="BA45" i="56"/>
  <c r="BC45" i="56"/>
  <c r="BD45" i="56"/>
  <c r="BF45" i="56"/>
  <c r="BG45" i="56"/>
  <c r="D46" i="56"/>
  <c r="G46" i="56"/>
  <c r="F46" i="56"/>
  <c r="I46" i="56" s="1"/>
  <c r="H46" i="56"/>
  <c r="P46" i="56"/>
  <c r="O46" i="56"/>
  <c r="S46" i="56"/>
  <c r="R46" i="56"/>
  <c r="V46" i="56"/>
  <c r="U46" i="56"/>
  <c r="Y46" i="56"/>
  <c r="X46" i="56"/>
  <c r="AB46" i="56"/>
  <c r="AA46" i="56"/>
  <c r="AW46" i="56"/>
  <c r="AY46" i="56"/>
  <c r="BA46" i="56"/>
  <c r="BC46" i="56"/>
  <c r="BD46" i="56"/>
  <c r="BF46" i="56"/>
  <c r="BG46" i="56"/>
  <c r="F47" i="56"/>
  <c r="H47" i="56"/>
  <c r="P47" i="56"/>
  <c r="O47" i="56"/>
  <c r="S47" i="56"/>
  <c r="R47" i="56"/>
  <c r="V47" i="56"/>
  <c r="U47" i="56"/>
  <c r="Y47" i="56"/>
  <c r="X47" i="56"/>
  <c r="AB47" i="56"/>
  <c r="AA47" i="56"/>
  <c r="AW47" i="56"/>
  <c r="AY47" i="56"/>
  <c r="BA47" i="56"/>
  <c r="BC47" i="56"/>
  <c r="BD47" i="56"/>
  <c r="BF47" i="56"/>
  <c r="BG47" i="56"/>
  <c r="F48" i="56"/>
  <c r="I48" i="56" s="1"/>
  <c r="K48" i="56" s="1"/>
  <c r="H48" i="56"/>
  <c r="P48" i="56"/>
  <c r="O48" i="56"/>
  <c r="S48" i="56"/>
  <c r="R48" i="56"/>
  <c r="V48" i="56"/>
  <c r="U48" i="56"/>
  <c r="Y48" i="56"/>
  <c r="X48" i="56"/>
  <c r="AB48" i="56"/>
  <c r="AA48" i="56"/>
  <c r="AW48" i="56"/>
  <c r="AY48" i="56"/>
  <c r="BA48" i="56"/>
  <c r="BC48" i="56"/>
  <c r="BD48" i="56"/>
  <c r="BF48" i="56"/>
  <c r="BG48" i="56"/>
  <c r="F49" i="56"/>
  <c r="I49" i="56" s="1"/>
  <c r="H49" i="56"/>
  <c r="P49" i="56"/>
  <c r="O49" i="56"/>
  <c r="S49" i="56"/>
  <c r="R49" i="56"/>
  <c r="V49" i="56"/>
  <c r="U49" i="56"/>
  <c r="Y49" i="56"/>
  <c r="X49" i="56"/>
  <c r="AB49" i="56"/>
  <c r="AA49" i="56"/>
  <c r="AW49" i="56"/>
  <c r="AY49" i="56"/>
  <c r="BA49" i="56"/>
  <c r="BC49" i="56"/>
  <c r="BD49" i="56"/>
  <c r="BF49" i="56"/>
  <c r="BG49" i="56"/>
  <c r="F50" i="56"/>
  <c r="I50" i="56" s="1"/>
  <c r="J50" i="56" s="1"/>
  <c r="AJ50" i="56" s="1"/>
  <c r="H50" i="56"/>
  <c r="P50" i="56"/>
  <c r="O50" i="56"/>
  <c r="S50" i="56"/>
  <c r="R50" i="56"/>
  <c r="V50" i="56"/>
  <c r="U50" i="56"/>
  <c r="Y50" i="56"/>
  <c r="X50" i="56"/>
  <c r="AB50" i="56"/>
  <c r="AA50" i="56"/>
  <c r="AW50" i="56"/>
  <c r="AY50" i="56"/>
  <c r="BA50" i="56"/>
  <c r="BC50" i="56"/>
  <c r="BD50" i="56"/>
  <c r="BF50" i="56"/>
  <c r="BG50" i="56"/>
  <c r="F51" i="56"/>
  <c r="I51" i="56" s="1"/>
  <c r="J51" i="56" s="1"/>
  <c r="AQ51" i="56" s="1"/>
  <c r="H51" i="56"/>
  <c r="P51" i="56"/>
  <c r="O51" i="56"/>
  <c r="S51" i="56"/>
  <c r="R51" i="56"/>
  <c r="V51" i="56"/>
  <c r="U51" i="56"/>
  <c r="Y51" i="56"/>
  <c r="X51" i="56"/>
  <c r="AB51" i="56"/>
  <c r="AA51" i="56"/>
  <c r="AW51" i="56"/>
  <c r="AY51" i="56"/>
  <c r="BA51" i="56"/>
  <c r="BC51" i="56"/>
  <c r="BD51" i="56"/>
  <c r="BF51" i="56"/>
  <c r="BG51" i="56"/>
  <c r="F52" i="56"/>
  <c r="I52" i="56" s="1"/>
  <c r="H52" i="56"/>
  <c r="P52" i="56"/>
  <c r="O52" i="56"/>
  <c r="S52" i="56"/>
  <c r="R52" i="56"/>
  <c r="V52" i="56"/>
  <c r="U52" i="56"/>
  <c r="Y52" i="56"/>
  <c r="X52" i="56"/>
  <c r="AB52" i="56"/>
  <c r="AA52" i="56"/>
  <c r="AW52" i="56"/>
  <c r="AY52" i="56"/>
  <c r="BA52" i="56"/>
  <c r="BC52" i="56"/>
  <c r="BD52" i="56"/>
  <c r="BF52" i="56"/>
  <c r="BG52" i="56"/>
  <c r="L54" i="56"/>
  <c r="AY53" i="56"/>
  <c r="AZ54" i="56"/>
  <c r="M54" i="56"/>
  <c r="BB54" i="56"/>
  <c r="BE54" i="56"/>
  <c r="J56" i="56"/>
  <c r="J57" i="56"/>
  <c r="AX60" i="56"/>
  <c r="K63" i="56"/>
  <c r="L63" i="56"/>
  <c r="M63" i="56"/>
  <c r="N63" i="56"/>
  <c r="O63" i="56"/>
  <c r="K64" i="56"/>
  <c r="L64" i="56"/>
  <c r="M64" i="56"/>
  <c r="N64" i="56"/>
  <c r="O64" i="56"/>
  <c r="B2" i="57"/>
  <c r="A3" i="57"/>
  <c r="B3" i="57"/>
  <c r="A4" i="57"/>
  <c r="B4" i="57"/>
  <c r="A5" i="57"/>
  <c r="B5" i="57"/>
  <c r="A6" i="57"/>
  <c r="B6" i="57"/>
  <c r="U6" i="57"/>
  <c r="U10" i="57"/>
  <c r="U12" i="57"/>
  <c r="U14" i="57"/>
  <c r="A7" i="57"/>
  <c r="B7" i="57"/>
  <c r="A8" i="57"/>
  <c r="B8" i="57"/>
  <c r="A9" i="57"/>
  <c r="B9" i="57"/>
  <c r="A10" i="57"/>
  <c r="B10" i="57"/>
  <c r="A11" i="57"/>
  <c r="B11" i="57"/>
  <c r="A12" i="57"/>
  <c r="B12" i="57"/>
  <c r="T12" i="57"/>
  <c r="A13" i="57"/>
  <c r="B13" i="57"/>
  <c r="A14" i="57"/>
  <c r="B14" i="57"/>
  <c r="A15" i="57"/>
  <c r="B15" i="57"/>
  <c r="A16" i="57"/>
  <c r="B16" i="57"/>
  <c r="V16" i="57"/>
  <c r="A17" i="57"/>
  <c r="B17" i="57"/>
  <c r="A18" i="57"/>
  <c r="B18" i="57"/>
  <c r="A19" i="57"/>
  <c r="B19" i="57"/>
  <c r="A20" i="57"/>
  <c r="B20" i="57"/>
  <c r="A21" i="57"/>
  <c r="B21" i="57"/>
  <c r="A22" i="57"/>
  <c r="B22" i="57"/>
  <c r="A23" i="57"/>
  <c r="B23" i="57"/>
  <c r="A24" i="57"/>
  <c r="B24" i="57"/>
  <c r="A25" i="57"/>
  <c r="B25" i="57"/>
  <c r="A26" i="57"/>
  <c r="B26" i="57"/>
  <c r="A27" i="57"/>
  <c r="B27" i="57"/>
  <c r="A28" i="57"/>
  <c r="B28" i="57"/>
  <c r="A29" i="57"/>
  <c r="B29" i="57"/>
  <c r="A30" i="57"/>
  <c r="B30" i="57"/>
  <c r="A31" i="57"/>
  <c r="B31" i="57"/>
  <c r="A32" i="57"/>
  <c r="B32" i="57"/>
  <c r="A33" i="57"/>
  <c r="B33" i="57"/>
  <c r="A34" i="57"/>
  <c r="B34" i="57"/>
  <c r="A35" i="57"/>
  <c r="B35" i="57"/>
  <c r="A36" i="57"/>
  <c r="B36" i="57"/>
  <c r="A37" i="57"/>
  <c r="B37" i="57"/>
  <c r="A38" i="57"/>
  <c r="B38" i="57"/>
  <c r="J1" i="47"/>
  <c r="AB18" i="47"/>
  <c r="AA18" i="47"/>
  <c r="AB19" i="47"/>
  <c r="AA19" i="47"/>
  <c r="AB20" i="47"/>
  <c r="AA20" i="47"/>
  <c r="AB21" i="47"/>
  <c r="AA21" i="47"/>
  <c r="AB22" i="47"/>
  <c r="AA22" i="47"/>
  <c r="AB24" i="47"/>
  <c r="AA24" i="47"/>
  <c r="AB25" i="47"/>
  <c r="AA25" i="47"/>
  <c r="AB26" i="47"/>
  <c r="AA26" i="47"/>
  <c r="AB27" i="47"/>
  <c r="AA27" i="47"/>
  <c r="AB28" i="47"/>
  <c r="AA28" i="47"/>
  <c r="AB29" i="47"/>
  <c r="AA29" i="47"/>
  <c r="AB30" i="47"/>
  <c r="AA30" i="47"/>
  <c r="AB31" i="47"/>
  <c r="AA31" i="47"/>
  <c r="AB32" i="47"/>
  <c r="AA32" i="47"/>
  <c r="AB33" i="47"/>
  <c r="AA33" i="47"/>
  <c r="AB34" i="47"/>
  <c r="AA34" i="47"/>
  <c r="AB35" i="47"/>
  <c r="AA35" i="47"/>
  <c r="AB36" i="47"/>
  <c r="AA36" i="47"/>
  <c r="AB37" i="47"/>
  <c r="AA37" i="47"/>
  <c r="AB38" i="47"/>
  <c r="AA38" i="47"/>
  <c r="AB39" i="47"/>
  <c r="AA39" i="47"/>
  <c r="AB40" i="47"/>
  <c r="AA40" i="47"/>
  <c r="AB41" i="47"/>
  <c r="AA41" i="47"/>
  <c r="AB42" i="47"/>
  <c r="AA42" i="47"/>
  <c r="AB43" i="47"/>
  <c r="AA43" i="47"/>
  <c r="AB44" i="47"/>
  <c r="AA44" i="47"/>
  <c r="AB45" i="47"/>
  <c r="AA45" i="47"/>
  <c r="AB46" i="47"/>
  <c r="AA46" i="47"/>
  <c r="AB47" i="47"/>
  <c r="AA47" i="47"/>
  <c r="AB48" i="47"/>
  <c r="AA48" i="47"/>
  <c r="AB49" i="47"/>
  <c r="AA49" i="47"/>
  <c r="AB50" i="47"/>
  <c r="AA50" i="47"/>
  <c r="AB51" i="47"/>
  <c r="AA51" i="47"/>
  <c r="AB52" i="47"/>
  <c r="AA52" i="47"/>
  <c r="Y18" i="47"/>
  <c r="X18" i="47"/>
  <c r="Y19" i="47"/>
  <c r="X19" i="47"/>
  <c r="Y20" i="47"/>
  <c r="X20" i="47"/>
  <c r="Y21" i="47"/>
  <c r="X21" i="47"/>
  <c r="Y22" i="47"/>
  <c r="X22" i="47"/>
  <c r="Y24" i="47"/>
  <c r="X24" i="47"/>
  <c r="Y25" i="47"/>
  <c r="X25" i="47"/>
  <c r="Y26" i="47"/>
  <c r="X26" i="47"/>
  <c r="Y27" i="47"/>
  <c r="X27" i="47"/>
  <c r="Y28" i="47"/>
  <c r="X28" i="47"/>
  <c r="Y29" i="47"/>
  <c r="X29" i="47"/>
  <c r="Y30" i="47"/>
  <c r="X30" i="47"/>
  <c r="Y31" i="47"/>
  <c r="X31" i="47"/>
  <c r="Y32" i="47"/>
  <c r="X32" i="47"/>
  <c r="Y33" i="47"/>
  <c r="X33" i="47"/>
  <c r="Y34" i="47"/>
  <c r="X34" i="47"/>
  <c r="Y35" i="47"/>
  <c r="X35" i="47"/>
  <c r="Y36" i="47"/>
  <c r="X36" i="47"/>
  <c r="Y37" i="47"/>
  <c r="X37" i="47"/>
  <c r="Y38" i="47"/>
  <c r="X38" i="47"/>
  <c r="Y39" i="47"/>
  <c r="X39" i="47"/>
  <c r="Y40" i="47"/>
  <c r="X40" i="47"/>
  <c r="Y41" i="47"/>
  <c r="X41" i="47"/>
  <c r="Y42" i="47"/>
  <c r="X42" i="47"/>
  <c r="Y43" i="47"/>
  <c r="X43" i="47"/>
  <c r="Y44" i="47"/>
  <c r="X44" i="47"/>
  <c r="Y45" i="47"/>
  <c r="X45" i="47"/>
  <c r="Y46" i="47"/>
  <c r="X46" i="47"/>
  <c r="Y47" i="47"/>
  <c r="X47" i="47"/>
  <c r="Y48" i="47"/>
  <c r="X48" i="47"/>
  <c r="Y49" i="47"/>
  <c r="X49" i="47"/>
  <c r="Y50" i="47"/>
  <c r="X50" i="47"/>
  <c r="Y51" i="47"/>
  <c r="X51" i="47"/>
  <c r="Y52" i="47"/>
  <c r="X52" i="47"/>
  <c r="V18" i="47"/>
  <c r="U18" i="47"/>
  <c r="V19" i="47"/>
  <c r="U19" i="47"/>
  <c r="V20" i="47"/>
  <c r="U20" i="47"/>
  <c r="V21" i="47"/>
  <c r="U21" i="47"/>
  <c r="V22" i="47"/>
  <c r="U22" i="47"/>
  <c r="V24" i="47"/>
  <c r="U24" i="47"/>
  <c r="V25" i="47"/>
  <c r="U25" i="47"/>
  <c r="V26" i="47"/>
  <c r="U26" i="47"/>
  <c r="V27" i="47"/>
  <c r="U27" i="47"/>
  <c r="V28" i="47"/>
  <c r="U28" i="47"/>
  <c r="V29" i="47"/>
  <c r="U29" i="47"/>
  <c r="V30" i="47"/>
  <c r="U30" i="47"/>
  <c r="V31" i="47"/>
  <c r="U31" i="47"/>
  <c r="V32" i="47"/>
  <c r="U32" i="47"/>
  <c r="V33" i="47"/>
  <c r="U33" i="47"/>
  <c r="V34" i="47"/>
  <c r="U34" i="47"/>
  <c r="V35" i="47"/>
  <c r="U35" i="47"/>
  <c r="V36" i="47"/>
  <c r="U36" i="47"/>
  <c r="V37" i="47"/>
  <c r="U37" i="47"/>
  <c r="V38" i="47"/>
  <c r="U38" i="47"/>
  <c r="V39" i="47"/>
  <c r="U39" i="47"/>
  <c r="V40" i="47"/>
  <c r="U40" i="47"/>
  <c r="V41" i="47"/>
  <c r="U41" i="47"/>
  <c r="V42" i="47"/>
  <c r="U42" i="47"/>
  <c r="V43" i="47"/>
  <c r="U43" i="47"/>
  <c r="V44" i="47"/>
  <c r="U44" i="47"/>
  <c r="V45" i="47"/>
  <c r="U45" i="47"/>
  <c r="V46" i="47"/>
  <c r="U46" i="47"/>
  <c r="V47" i="47"/>
  <c r="U47" i="47"/>
  <c r="V48" i="47"/>
  <c r="U48" i="47"/>
  <c r="V49" i="47"/>
  <c r="U49" i="47"/>
  <c r="V50" i="47"/>
  <c r="U50" i="47"/>
  <c r="V51" i="47"/>
  <c r="U51" i="47"/>
  <c r="V52" i="47"/>
  <c r="U52" i="47"/>
  <c r="S18" i="47"/>
  <c r="R18" i="47"/>
  <c r="S19" i="47"/>
  <c r="R19" i="47"/>
  <c r="S20" i="47"/>
  <c r="R20" i="47"/>
  <c r="S21" i="47"/>
  <c r="R21" i="47"/>
  <c r="S22" i="47"/>
  <c r="R22" i="47"/>
  <c r="S24" i="47"/>
  <c r="R24" i="47"/>
  <c r="S25" i="47"/>
  <c r="R25" i="47"/>
  <c r="S26" i="47"/>
  <c r="R26" i="47"/>
  <c r="S27" i="47"/>
  <c r="R27" i="47"/>
  <c r="S28" i="47"/>
  <c r="R28" i="47"/>
  <c r="S29" i="47"/>
  <c r="R29" i="47"/>
  <c r="S30" i="47"/>
  <c r="R30" i="47"/>
  <c r="S31" i="47"/>
  <c r="R31" i="47"/>
  <c r="S32" i="47"/>
  <c r="R32" i="47"/>
  <c r="S33" i="47"/>
  <c r="R33" i="47"/>
  <c r="S34" i="47"/>
  <c r="R34" i="47"/>
  <c r="S35" i="47"/>
  <c r="R35" i="47"/>
  <c r="S36" i="47"/>
  <c r="R36" i="47"/>
  <c r="S37" i="47"/>
  <c r="R37" i="47"/>
  <c r="S38" i="47"/>
  <c r="R38" i="47"/>
  <c r="S39" i="47"/>
  <c r="R39" i="47"/>
  <c r="S40" i="47"/>
  <c r="R40" i="47"/>
  <c r="S41" i="47"/>
  <c r="R41" i="47"/>
  <c r="S42" i="47"/>
  <c r="R42" i="47"/>
  <c r="S43" i="47"/>
  <c r="R43" i="47"/>
  <c r="S44" i="47"/>
  <c r="R44" i="47"/>
  <c r="S45" i="47"/>
  <c r="R45" i="47"/>
  <c r="S46" i="47"/>
  <c r="R46" i="47"/>
  <c r="S47" i="47"/>
  <c r="R47" i="47"/>
  <c r="S48" i="47"/>
  <c r="R48" i="47"/>
  <c r="S49" i="47"/>
  <c r="R49" i="47"/>
  <c r="S50" i="47"/>
  <c r="R50" i="47"/>
  <c r="S51" i="47"/>
  <c r="R51" i="47"/>
  <c r="S52" i="47"/>
  <c r="R52" i="47"/>
  <c r="AB17" i="47"/>
  <c r="AA17" i="47"/>
  <c r="Y17" i="47"/>
  <c r="V17" i="47"/>
  <c r="S17" i="47"/>
  <c r="U8" i="54"/>
  <c r="P18" i="47"/>
  <c r="O18" i="47"/>
  <c r="P19" i="47"/>
  <c r="O19" i="47"/>
  <c r="P20" i="47"/>
  <c r="O20" i="47"/>
  <c r="P21" i="47"/>
  <c r="O21" i="47"/>
  <c r="P22" i="47"/>
  <c r="O22" i="47"/>
  <c r="P24" i="47"/>
  <c r="O24" i="47"/>
  <c r="P25" i="47"/>
  <c r="O25" i="47"/>
  <c r="P26" i="47"/>
  <c r="O26" i="47"/>
  <c r="P27" i="47"/>
  <c r="O27" i="47"/>
  <c r="P28" i="47"/>
  <c r="O28" i="47"/>
  <c r="P29" i="47"/>
  <c r="O29" i="47"/>
  <c r="P30" i="47"/>
  <c r="O30" i="47"/>
  <c r="P31" i="47"/>
  <c r="O31" i="47"/>
  <c r="P32" i="47"/>
  <c r="O32" i="47"/>
  <c r="P33" i="47"/>
  <c r="O33" i="47"/>
  <c r="P34" i="47"/>
  <c r="O34" i="47"/>
  <c r="P35" i="47"/>
  <c r="O35" i="47"/>
  <c r="P36" i="47"/>
  <c r="O36" i="47"/>
  <c r="P37" i="47"/>
  <c r="O37" i="47"/>
  <c r="P38" i="47"/>
  <c r="O38" i="47"/>
  <c r="P39" i="47"/>
  <c r="O39" i="47"/>
  <c r="P40" i="47"/>
  <c r="O40" i="47"/>
  <c r="P41" i="47"/>
  <c r="O41" i="47"/>
  <c r="P42" i="47"/>
  <c r="O42" i="47"/>
  <c r="P43" i="47"/>
  <c r="O43" i="47"/>
  <c r="P44" i="47"/>
  <c r="O44" i="47"/>
  <c r="P45" i="47"/>
  <c r="O45" i="47"/>
  <c r="P46" i="47"/>
  <c r="O46" i="47"/>
  <c r="P47" i="47"/>
  <c r="O47" i="47"/>
  <c r="P48" i="47"/>
  <c r="O48" i="47"/>
  <c r="P49" i="47"/>
  <c r="O49" i="47"/>
  <c r="P50" i="47"/>
  <c r="O50" i="47"/>
  <c r="P51" i="47"/>
  <c r="O51" i="47"/>
  <c r="P52" i="47"/>
  <c r="O52" i="47"/>
  <c r="P17" i="47"/>
  <c r="O17" i="47"/>
  <c r="T6" i="54"/>
  <c r="N7" i="31"/>
  <c r="D18" i="47"/>
  <c r="G18" i="47"/>
  <c r="K8" i="31"/>
  <c r="M8" i="31"/>
  <c r="W22" i="84"/>
  <c r="J8" i="31"/>
  <c r="N9" i="31"/>
  <c r="D20" i="47"/>
  <c r="G20" i="47"/>
  <c r="K10" i="31"/>
  <c r="M10" i="31"/>
  <c r="N10" i="31"/>
  <c r="D21" i="47"/>
  <c r="G21" i="47"/>
  <c r="J10" i="31"/>
  <c r="K11" i="31"/>
  <c r="M11" i="31"/>
  <c r="J11" i="31"/>
  <c r="N12" i="31"/>
  <c r="D23" i="47"/>
  <c r="G23" i="47"/>
  <c r="K13" i="31"/>
  <c r="M13" i="31"/>
  <c r="N13" i="31"/>
  <c r="D24" i="47"/>
  <c r="G24" i="47"/>
  <c r="J13" i="31"/>
  <c r="K14" i="31"/>
  <c r="M14" i="31"/>
  <c r="N14" i="31"/>
  <c r="D25" i="47"/>
  <c r="G25" i="47"/>
  <c r="J14" i="31"/>
  <c r="K15" i="31"/>
  <c r="M15" i="31"/>
  <c r="N15" i="31"/>
  <c r="D26" i="47"/>
  <c r="J15" i="31"/>
  <c r="K16" i="31"/>
  <c r="J16" i="31"/>
  <c r="K17" i="31"/>
  <c r="M17" i="31"/>
  <c r="J17" i="31"/>
  <c r="K18" i="31"/>
  <c r="J18" i="31"/>
  <c r="M18" i="31"/>
  <c r="N18" i="31"/>
  <c r="D29" i="47"/>
  <c r="G29" i="47"/>
  <c r="K19" i="31"/>
  <c r="M19" i="31"/>
  <c r="N19" i="31"/>
  <c r="D30" i="47"/>
  <c r="G30" i="47"/>
  <c r="J19" i="31"/>
  <c r="K20" i="31"/>
  <c r="M20" i="31"/>
  <c r="N20" i="31"/>
  <c r="D31" i="47"/>
  <c r="G31" i="47"/>
  <c r="J20" i="31"/>
  <c r="K21" i="31"/>
  <c r="M21" i="31"/>
  <c r="N21" i="31"/>
  <c r="D32" i="47"/>
  <c r="G32" i="47"/>
  <c r="J21" i="31"/>
  <c r="K22" i="31"/>
  <c r="M22" i="31"/>
  <c r="N22" i="31"/>
  <c r="D33" i="47"/>
  <c r="G33" i="47"/>
  <c r="J22" i="31"/>
  <c r="K23" i="31"/>
  <c r="M23" i="31"/>
  <c r="N23" i="31"/>
  <c r="D34" i="47"/>
  <c r="G34" i="47"/>
  <c r="J23" i="31"/>
  <c r="K24" i="31"/>
  <c r="M24" i="31"/>
  <c r="N24" i="31"/>
  <c r="D35" i="47"/>
  <c r="G35" i="47"/>
  <c r="J24" i="31"/>
  <c r="K25" i="31"/>
  <c r="M25" i="31"/>
  <c r="N25" i="31"/>
  <c r="D36" i="47"/>
  <c r="G36" i="47"/>
  <c r="J25" i="31"/>
  <c r="K26" i="31"/>
  <c r="M26" i="31"/>
  <c r="N26" i="31"/>
  <c r="D37" i="47"/>
  <c r="G37" i="47"/>
  <c r="J26" i="31"/>
  <c r="K27" i="31"/>
  <c r="M27" i="31"/>
  <c r="N27" i="31"/>
  <c r="D38" i="47"/>
  <c r="G38" i="47"/>
  <c r="J27" i="31"/>
  <c r="K28" i="31"/>
  <c r="J28" i="31"/>
  <c r="M28" i="31"/>
  <c r="N28" i="31"/>
  <c r="D39" i="47"/>
  <c r="G39" i="47"/>
  <c r="K29" i="31"/>
  <c r="M29" i="31"/>
  <c r="N29" i="31"/>
  <c r="D40" i="47"/>
  <c r="G40" i="47"/>
  <c r="J29" i="31"/>
  <c r="K30" i="31"/>
  <c r="M30" i="31"/>
  <c r="N30" i="31"/>
  <c r="D41" i="47"/>
  <c r="G41" i="47"/>
  <c r="J30" i="31"/>
  <c r="K31" i="31"/>
  <c r="M31" i="31"/>
  <c r="N31" i="31"/>
  <c r="D42" i="47"/>
  <c r="G42" i="47"/>
  <c r="K32" i="31"/>
  <c r="M32" i="31"/>
  <c r="N32" i="31"/>
  <c r="D43" i="47"/>
  <c r="G43" i="47"/>
  <c r="K33" i="31"/>
  <c r="M33" i="31"/>
  <c r="N33" i="31"/>
  <c r="D44" i="47"/>
  <c r="G44" i="47"/>
  <c r="K34" i="31"/>
  <c r="M34" i="31"/>
  <c r="N34" i="31"/>
  <c r="D45" i="47"/>
  <c r="G45" i="47"/>
  <c r="K35" i="31"/>
  <c r="M35" i="31"/>
  <c r="N35" i="31"/>
  <c r="D46" i="47"/>
  <c r="G46" i="47"/>
  <c r="K36" i="31"/>
  <c r="M36" i="31"/>
  <c r="N36" i="31"/>
  <c r="D47" i="47"/>
  <c r="G47" i="47"/>
  <c r="K37" i="31"/>
  <c r="M37" i="31"/>
  <c r="N37" i="31"/>
  <c r="D48" i="47"/>
  <c r="G48" i="47"/>
  <c r="K38" i="31"/>
  <c r="M38" i="31"/>
  <c r="N38" i="31"/>
  <c r="D49" i="47"/>
  <c r="G49" i="47"/>
  <c r="K39" i="31"/>
  <c r="M39" i="31"/>
  <c r="N39" i="31"/>
  <c r="D50" i="47"/>
  <c r="G50" i="47"/>
  <c r="K40" i="31"/>
  <c r="M40" i="31"/>
  <c r="N40" i="31"/>
  <c r="D51" i="47"/>
  <c r="G51" i="47"/>
  <c r="K41" i="31"/>
  <c r="M41" i="31"/>
  <c r="N41" i="31"/>
  <c r="D52" i="47"/>
  <c r="G52" i="47"/>
  <c r="N6" i="31"/>
  <c r="D17" i="47"/>
  <c r="G17" i="47"/>
  <c r="F31" i="47"/>
  <c r="I31" i="47" s="1"/>
  <c r="J31" i="47" s="1"/>
  <c r="H31" i="47"/>
  <c r="V16" i="54"/>
  <c r="F22" i="47"/>
  <c r="I22" i="47" s="1"/>
  <c r="K22" i="47" s="1"/>
  <c r="T22" i="47" s="1"/>
  <c r="H22" i="47"/>
  <c r="G26" i="47"/>
  <c r="F38" i="47"/>
  <c r="I38" i="47" s="1"/>
  <c r="H38" i="47"/>
  <c r="F40" i="47"/>
  <c r="I40" i="47" s="1"/>
  <c r="H40" i="47"/>
  <c r="F34" i="47"/>
  <c r="I34" i="47" s="1"/>
  <c r="K34" i="47" s="1"/>
  <c r="H34" i="47"/>
  <c r="B38" i="54"/>
  <c r="A38" i="54"/>
  <c r="B37" i="54"/>
  <c r="A37" i="54"/>
  <c r="B36" i="54"/>
  <c r="A36" i="54"/>
  <c r="B35" i="54"/>
  <c r="A35" i="54"/>
  <c r="B34" i="54"/>
  <c r="A34" i="54"/>
  <c r="B33" i="54"/>
  <c r="A33" i="54"/>
  <c r="B32" i="54"/>
  <c r="A32" i="54"/>
  <c r="B31" i="54"/>
  <c r="A31" i="54"/>
  <c r="B30" i="54"/>
  <c r="A30" i="54"/>
  <c r="B29" i="54"/>
  <c r="A29" i="54"/>
  <c r="B28" i="54"/>
  <c r="A28" i="54"/>
  <c r="B27" i="54"/>
  <c r="A27" i="54"/>
  <c r="B26" i="54"/>
  <c r="A26" i="54"/>
  <c r="B25" i="54"/>
  <c r="A25" i="54"/>
  <c r="B24" i="54"/>
  <c r="A24" i="54"/>
  <c r="B23" i="54"/>
  <c r="A23" i="54"/>
  <c r="B22" i="54"/>
  <c r="A22" i="54"/>
  <c r="B21" i="54"/>
  <c r="A21" i="54"/>
  <c r="B20" i="54"/>
  <c r="A20" i="54"/>
  <c r="B19" i="54"/>
  <c r="A19" i="54"/>
  <c r="B18" i="54"/>
  <c r="A18" i="54"/>
  <c r="B17" i="54"/>
  <c r="A17" i="54"/>
  <c r="B16" i="54"/>
  <c r="A16" i="54"/>
  <c r="B15" i="54"/>
  <c r="A15" i="54"/>
  <c r="B14" i="54"/>
  <c r="A14" i="54"/>
  <c r="B13" i="54"/>
  <c r="A13" i="54"/>
  <c r="B12" i="54"/>
  <c r="A12" i="54"/>
  <c r="B11" i="54"/>
  <c r="A11" i="54"/>
  <c r="B10" i="54"/>
  <c r="A10" i="54"/>
  <c r="B9" i="54"/>
  <c r="A9" i="54"/>
  <c r="B8" i="54"/>
  <c r="A8" i="54"/>
  <c r="B7" i="54"/>
  <c r="A7" i="54"/>
  <c r="B6" i="54"/>
  <c r="A6" i="54"/>
  <c r="B5" i="54"/>
  <c r="A5" i="54"/>
  <c r="B4" i="54"/>
  <c r="A4" i="54"/>
  <c r="B3" i="54"/>
  <c r="A3" i="54"/>
  <c r="B2" i="54"/>
  <c r="F19" i="47"/>
  <c r="I19" i="47" s="1"/>
  <c r="H19" i="47"/>
  <c r="F21" i="47"/>
  <c r="I21" i="47"/>
  <c r="J21" i="47" s="1"/>
  <c r="AD21" i="47" s="1"/>
  <c r="H21" i="47"/>
  <c r="F24" i="47"/>
  <c r="H24" i="47"/>
  <c r="F25" i="47"/>
  <c r="I25" i="47" s="1"/>
  <c r="H25" i="47"/>
  <c r="F26" i="47"/>
  <c r="I26" i="47" s="1"/>
  <c r="H26" i="47"/>
  <c r="F27" i="47"/>
  <c r="I27" i="47" s="1"/>
  <c r="H27" i="47"/>
  <c r="F28" i="47"/>
  <c r="I28" i="47" s="1"/>
  <c r="H28" i="47"/>
  <c r="F29" i="47"/>
  <c r="I29" i="47" s="1"/>
  <c r="H29" i="47"/>
  <c r="F30" i="47"/>
  <c r="I30" i="47" s="1"/>
  <c r="H30" i="47"/>
  <c r="F32" i="47"/>
  <c r="I32" i="47" s="1"/>
  <c r="H32" i="47"/>
  <c r="F33" i="47"/>
  <c r="I33" i="47" s="1"/>
  <c r="J33" i="47" s="1"/>
  <c r="AS33" i="47" s="1"/>
  <c r="H33" i="47"/>
  <c r="F35" i="47"/>
  <c r="I35" i="47" s="1"/>
  <c r="H35" i="47"/>
  <c r="F36" i="47"/>
  <c r="I36" i="47" s="1"/>
  <c r="H36" i="47"/>
  <c r="F37" i="47"/>
  <c r="I37" i="47" s="1"/>
  <c r="J37" i="47" s="1"/>
  <c r="H37" i="47"/>
  <c r="F39" i="47"/>
  <c r="H39" i="47"/>
  <c r="F41" i="47"/>
  <c r="I41" i="47" s="1"/>
  <c r="H41" i="47"/>
  <c r="F42" i="47"/>
  <c r="I42" i="47" s="1"/>
  <c r="H42" i="47"/>
  <c r="F43" i="47"/>
  <c r="I43" i="47" s="1"/>
  <c r="H43" i="47"/>
  <c r="F44" i="47"/>
  <c r="H44" i="47"/>
  <c r="F45" i="47"/>
  <c r="I45" i="47" s="1"/>
  <c r="H45" i="47"/>
  <c r="F46" i="47"/>
  <c r="I46" i="47" s="1"/>
  <c r="H46" i="47"/>
  <c r="F47" i="47"/>
  <c r="I47" i="47" s="1"/>
  <c r="H47" i="47"/>
  <c r="F48" i="47"/>
  <c r="I48" i="47" s="1"/>
  <c r="H48" i="47"/>
  <c r="F49" i="47"/>
  <c r="I49" i="47" s="1"/>
  <c r="K49" i="47" s="1"/>
  <c r="Q49" i="47" s="1"/>
  <c r="H49" i="47"/>
  <c r="F50" i="47"/>
  <c r="H50" i="47"/>
  <c r="F51" i="47"/>
  <c r="I51" i="47" s="1"/>
  <c r="K51" i="47" s="1"/>
  <c r="AC51" i="47" s="1"/>
  <c r="H51" i="47"/>
  <c r="F52" i="47"/>
  <c r="I52" i="47" s="1"/>
  <c r="K52" i="47" s="1"/>
  <c r="H52" i="47"/>
  <c r="E7" i="47"/>
  <c r="B17" i="47"/>
  <c r="AW17" i="47"/>
  <c r="AY17" i="47"/>
  <c r="BA17" i="47"/>
  <c r="BC17" i="47"/>
  <c r="BD17" i="47"/>
  <c r="BF17" i="47"/>
  <c r="BG17" i="47"/>
  <c r="B18" i="47"/>
  <c r="AW18" i="47"/>
  <c r="AY18" i="47"/>
  <c r="BA18" i="47"/>
  <c r="BC18" i="47"/>
  <c r="BD18" i="47"/>
  <c r="BF18" i="47"/>
  <c r="BG18" i="47"/>
  <c r="B19" i="47"/>
  <c r="AW19" i="47"/>
  <c r="AY19" i="47"/>
  <c r="BA19" i="47"/>
  <c r="BC19" i="47"/>
  <c r="BD19" i="47"/>
  <c r="BF19" i="47"/>
  <c r="BG19" i="47"/>
  <c r="B20" i="47"/>
  <c r="AW20" i="47"/>
  <c r="AY20" i="47"/>
  <c r="BA20" i="47"/>
  <c r="BC20" i="47"/>
  <c r="BD20" i="47"/>
  <c r="BF20" i="47"/>
  <c r="BG20" i="47"/>
  <c r="B21" i="47"/>
  <c r="AW21" i="47"/>
  <c r="AY21" i="47"/>
  <c r="BA21" i="47"/>
  <c r="BC21" i="47"/>
  <c r="BD21" i="47"/>
  <c r="BF21" i="47"/>
  <c r="BG21" i="47"/>
  <c r="B22" i="47"/>
  <c r="AW22" i="47"/>
  <c r="AY22" i="47"/>
  <c r="BA22" i="47"/>
  <c r="BC22" i="47"/>
  <c r="BD22" i="47"/>
  <c r="BF22" i="47"/>
  <c r="BG22" i="47"/>
  <c r="B23" i="47"/>
  <c r="AW23" i="47"/>
  <c r="AY23" i="47"/>
  <c r="BA23" i="47"/>
  <c r="BC23" i="47"/>
  <c r="BD23" i="47"/>
  <c r="BF23" i="47"/>
  <c r="BG23" i="47"/>
  <c r="B24" i="47"/>
  <c r="AW24" i="47"/>
  <c r="AY24" i="47"/>
  <c r="BA24" i="47"/>
  <c r="BC24" i="47"/>
  <c r="BD24" i="47"/>
  <c r="BF24" i="47"/>
  <c r="BG24" i="47"/>
  <c r="B25" i="47"/>
  <c r="AW25" i="47"/>
  <c r="AY25" i="47"/>
  <c r="BA25" i="47"/>
  <c r="BC25" i="47"/>
  <c r="BD25" i="47"/>
  <c r="BF25" i="47"/>
  <c r="BG25" i="47"/>
  <c r="B26" i="47"/>
  <c r="AW26" i="47"/>
  <c r="AY26" i="47"/>
  <c r="BA26" i="47"/>
  <c r="BC26" i="47"/>
  <c r="BD26" i="47"/>
  <c r="BF26" i="47"/>
  <c r="BG26" i="47"/>
  <c r="B27" i="47"/>
  <c r="AW27" i="47"/>
  <c r="AY27" i="47"/>
  <c r="BA27" i="47"/>
  <c r="BC27" i="47"/>
  <c r="BD27" i="47"/>
  <c r="BF27" i="47"/>
  <c r="BG27" i="47"/>
  <c r="B28" i="47"/>
  <c r="AW28" i="47"/>
  <c r="AY28" i="47"/>
  <c r="BA28" i="47"/>
  <c r="BC28" i="47"/>
  <c r="BD28" i="47"/>
  <c r="BF28" i="47"/>
  <c r="BG28" i="47"/>
  <c r="B29" i="47"/>
  <c r="AW29" i="47"/>
  <c r="AY29" i="47"/>
  <c r="BA29" i="47"/>
  <c r="BC29" i="47"/>
  <c r="BD29" i="47"/>
  <c r="BF29" i="47"/>
  <c r="BG29" i="47"/>
  <c r="B30" i="47"/>
  <c r="AW30" i="47"/>
  <c r="AY30" i="47"/>
  <c r="BA30" i="47"/>
  <c r="BC30" i="47"/>
  <c r="BD30" i="47"/>
  <c r="BF30" i="47"/>
  <c r="BG30" i="47"/>
  <c r="B31" i="47"/>
  <c r="AW31" i="47"/>
  <c r="AY31" i="47"/>
  <c r="BA31" i="47"/>
  <c r="BC31" i="47"/>
  <c r="BD31" i="47"/>
  <c r="BF31" i="47"/>
  <c r="BG31" i="47"/>
  <c r="B32" i="47"/>
  <c r="AW32" i="47"/>
  <c r="AY32" i="47"/>
  <c r="BA32" i="47"/>
  <c r="BC32" i="47"/>
  <c r="BD32" i="47"/>
  <c r="BF32" i="47"/>
  <c r="BG32" i="47"/>
  <c r="B33" i="47"/>
  <c r="AW33" i="47"/>
  <c r="AY33" i="47"/>
  <c r="BA33" i="47"/>
  <c r="BC33" i="47"/>
  <c r="BD33" i="47"/>
  <c r="BF33" i="47"/>
  <c r="BG33" i="47"/>
  <c r="B34" i="47"/>
  <c r="AW34" i="47"/>
  <c r="AY34" i="47"/>
  <c r="BA34" i="47"/>
  <c r="BC34" i="47"/>
  <c r="BD34" i="47"/>
  <c r="BF34" i="47"/>
  <c r="BG34" i="47"/>
  <c r="B35" i="47"/>
  <c r="AW35" i="47"/>
  <c r="AY35" i="47"/>
  <c r="BA35" i="47"/>
  <c r="BC35" i="47"/>
  <c r="BD35" i="47"/>
  <c r="BF35" i="47"/>
  <c r="BG35" i="47"/>
  <c r="B36" i="47"/>
  <c r="AW36" i="47"/>
  <c r="AY36" i="47"/>
  <c r="BA36" i="47"/>
  <c r="BC36" i="47"/>
  <c r="BD36" i="47"/>
  <c r="BF36" i="47"/>
  <c r="BG36" i="47"/>
  <c r="B37" i="47"/>
  <c r="AW37" i="47"/>
  <c r="AY37" i="47"/>
  <c r="BA37" i="47"/>
  <c r="BC37" i="47"/>
  <c r="BD37" i="47"/>
  <c r="BF37" i="47"/>
  <c r="BG37" i="47"/>
  <c r="B38" i="47"/>
  <c r="AW38" i="47"/>
  <c r="AY38" i="47"/>
  <c r="BA38" i="47"/>
  <c r="BC38" i="47"/>
  <c r="BD38" i="47"/>
  <c r="BF38" i="47"/>
  <c r="BG38" i="47"/>
  <c r="B39" i="47"/>
  <c r="AW39" i="47"/>
  <c r="AY39" i="47"/>
  <c r="BA39" i="47"/>
  <c r="BC39" i="47"/>
  <c r="BD39" i="47"/>
  <c r="BF39" i="47"/>
  <c r="BG39" i="47"/>
  <c r="B40" i="47"/>
  <c r="AW40" i="47"/>
  <c r="AY40" i="47"/>
  <c r="BA40" i="47"/>
  <c r="BC40" i="47"/>
  <c r="BD40" i="47"/>
  <c r="BF40" i="47"/>
  <c r="BG40" i="47"/>
  <c r="B41" i="47"/>
  <c r="AW41" i="47"/>
  <c r="AY41" i="47"/>
  <c r="BA41" i="47"/>
  <c r="BC41" i="47"/>
  <c r="BD41" i="47"/>
  <c r="BF41" i="47"/>
  <c r="BG41" i="47"/>
  <c r="B42" i="47"/>
  <c r="AW42" i="47"/>
  <c r="AY42" i="47"/>
  <c r="BA42" i="47"/>
  <c r="BC42" i="47"/>
  <c r="BD42" i="47"/>
  <c r="BF42" i="47"/>
  <c r="BG42" i="47"/>
  <c r="B43" i="47"/>
  <c r="AW43" i="47"/>
  <c r="AY43" i="47"/>
  <c r="BA43" i="47"/>
  <c r="BC43" i="47"/>
  <c r="BD43" i="47"/>
  <c r="BF43" i="47"/>
  <c r="BG43" i="47"/>
  <c r="B44" i="47"/>
  <c r="AW44" i="47"/>
  <c r="AY44" i="47"/>
  <c r="BA44" i="47"/>
  <c r="BC44" i="47"/>
  <c r="BD44" i="47"/>
  <c r="BF44" i="47"/>
  <c r="BG44" i="47"/>
  <c r="B45" i="47"/>
  <c r="AW45" i="47"/>
  <c r="AW54" i="47"/>
  <c r="AW53" i="47"/>
  <c r="P60" i="47"/>
  <c r="AY45" i="47"/>
  <c r="BA45" i="47"/>
  <c r="BC45" i="47"/>
  <c r="BD45" i="47"/>
  <c r="BF45" i="47"/>
  <c r="BG45" i="47"/>
  <c r="B46" i="47"/>
  <c r="AW46" i="47"/>
  <c r="AY46" i="47"/>
  <c r="BA46" i="47"/>
  <c r="BC46" i="47"/>
  <c r="BD46" i="47"/>
  <c r="BF46" i="47"/>
  <c r="BG46" i="47"/>
  <c r="B47" i="47"/>
  <c r="AW47" i="47"/>
  <c r="AY47" i="47"/>
  <c r="BA47" i="47"/>
  <c r="BC47" i="47"/>
  <c r="BD47" i="47"/>
  <c r="BF47" i="47"/>
  <c r="BG47" i="47"/>
  <c r="B48" i="47"/>
  <c r="AW48" i="47"/>
  <c r="AY48" i="47"/>
  <c r="BA48" i="47"/>
  <c r="BC48" i="47"/>
  <c r="BD48" i="47"/>
  <c r="BF48" i="47"/>
  <c r="BG48" i="47"/>
  <c r="B49" i="47"/>
  <c r="AW49" i="47"/>
  <c r="AY49" i="47"/>
  <c r="BA49" i="47"/>
  <c r="BC49" i="47"/>
  <c r="BD49" i="47"/>
  <c r="BF49" i="47"/>
  <c r="BG49" i="47"/>
  <c r="B50" i="47"/>
  <c r="AW50" i="47"/>
  <c r="AY50" i="47"/>
  <c r="BA50" i="47"/>
  <c r="BC50" i="47"/>
  <c r="BD50" i="47"/>
  <c r="BF50" i="47"/>
  <c r="BG50" i="47"/>
  <c r="B51" i="47"/>
  <c r="AW51" i="47"/>
  <c r="AY51" i="47"/>
  <c r="BA51" i="47"/>
  <c r="BC51" i="47"/>
  <c r="BD51" i="47"/>
  <c r="BF51" i="47"/>
  <c r="BG51" i="47"/>
  <c r="B52" i="47"/>
  <c r="AW52" i="47"/>
  <c r="AY52" i="47"/>
  <c r="BA52" i="47"/>
  <c r="BC52" i="47"/>
  <c r="BD52" i="47"/>
  <c r="BF52" i="47"/>
  <c r="BG52" i="47"/>
  <c r="L54" i="47"/>
  <c r="AY53" i="47"/>
  <c r="AZ54" i="47"/>
  <c r="M54" i="47"/>
  <c r="BB54" i="47"/>
  <c r="BE54" i="47"/>
  <c r="J57" i="47"/>
  <c r="AX60" i="47"/>
  <c r="K63" i="47"/>
  <c r="L63" i="47"/>
  <c r="M63" i="47"/>
  <c r="N63" i="47"/>
  <c r="O63" i="47"/>
  <c r="K64" i="47"/>
  <c r="L64" i="47"/>
  <c r="M64" i="47"/>
  <c r="N64" i="47"/>
  <c r="O64" i="47"/>
  <c r="C6" i="31"/>
  <c r="C7" i="31"/>
  <c r="C8" i="31"/>
  <c r="C9" i="31"/>
  <c r="C10" i="31"/>
  <c r="C11" i="31"/>
  <c r="C12" i="31"/>
  <c r="C13" i="31"/>
  <c r="C14" i="31"/>
  <c r="C15" i="31"/>
  <c r="C16" i="31"/>
  <c r="C17" i="31"/>
  <c r="C18" i="31"/>
  <c r="C19" i="31"/>
  <c r="C20" i="31"/>
  <c r="C21" i="31"/>
  <c r="C22" i="31"/>
  <c r="C23" i="31"/>
  <c r="C24" i="31"/>
  <c r="C25" i="31"/>
  <c r="C26" i="31"/>
  <c r="C27" i="31"/>
  <c r="C28" i="31"/>
  <c r="C29" i="31"/>
  <c r="C30" i="31"/>
  <c r="C31" i="31"/>
  <c r="J31" i="31"/>
  <c r="C32" i="31"/>
  <c r="J32" i="31"/>
  <c r="C33" i="31"/>
  <c r="J33" i="31"/>
  <c r="C34" i="31"/>
  <c r="J34" i="31"/>
  <c r="C35" i="31"/>
  <c r="J35" i="31"/>
  <c r="C36" i="31"/>
  <c r="J36" i="31"/>
  <c r="C37" i="31"/>
  <c r="J37" i="31"/>
  <c r="C38" i="31"/>
  <c r="J38" i="31"/>
  <c r="C39" i="31"/>
  <c r="J39" i="31"/>
  <c r="C40" i="31"/>
  <c r="J40" i="31"/>
  <c r="C41" i="31"/>
  <c r="J41" i="31"/>
  <c r="D42" i="31"/>
  <c r="D43" i="31"/>
  <c r="E42" i="31"/>
  <c r="E43" i="31"/>
  <c r="F42" i="31"/>
  <c r="F43" i="31"/>
  <c r="G42" i="31"/>
  <c r="G43" i="31"/>
  <c r="H42" i="31"/>
  <c r="I42" i="31"/>
  <c r="I43" i="31"/>
  <c r="H43" i="31"/>
  <c r="L43" i="31"/>
  <c r="J19" i="59"/>
  <c r="AF19" i="59" s="1"/>
  <c r="J20" i="78"/>
  <c r="K20" i="78"/>
  <c r="R17" i="47"/>
  <c r="T14" i="57"/>
  <c r="AD1" i="59"/>
  <c r="AX43" i="59"/>
  <c r="AX47" i="59"/>
  <c r="U2" i="59"/>
  <c r="J56" i="59"/>
  <c r="X2" i="59"/>
  <c r="AX44" i="59"/>
  <c r="U1" i="59"/>
  <c r="X1" i="59"/>
  <c r="AA1" i="59"/>
  <c r="AX45" i="59"/>
  <c r="AX46" i="59"/>
  <c r="AX42" i="59"/>
  <c r="O17" i="62"/>
  <c r="U6" i="54"/>
  <c r="N17" i="85"/>
  <c r="N8" i="31"/>
  <c r="D19" i="47"/>
  <c r="G19" i="47"/>
  <c r="K43" i="56"/>
  <c r="W43" i="56" s="1"/>
  <c r="M8" i="55"/>
  <c r="W18" i="84"/>
  <c r="U14" i="54"/>
  <c r="X2" i="56"/>
  <c r="X1" i="56"/>
  <c r="AX42" i="56"/>
  <c r="AX46" i="56"/>
  <c r="AA1" i="56"/>
  <c r="AD1" i="56"/>
  <c r="AX43" i="56"/>
  <c r="AX47" i="56"/>
  <c r="AX53" i="56"/>
  <c r="T6" i="57"/>
  <c r="O18" i="62"/>
  <c r="U6" i="63"/>
  <c r="AA18" i="59"/>
  <c r="J30" i="62"/>
  <c r="K30" i="62"/>
  <c r="AC30" i="62" s="1"/>
  <c r="T6" i="66"/>
  <c r="AX53" i="62"/>
  <c r="M11" i="61"/>
  <c r="J42" i="64"/>
  <c r="J43" i="64"/>
  <c r="M8" i="64"/>
  <c r="K43" i="64"/>
  <c r="X17" i="65"/>
  <c r="AG55" i="65"/>
  <c r="AG56" i="65"/>
  <c r="T12" i="66"/>
  <c r="AW54" i="68"/>
  <c r="AW53" i="68"/>
  <c r="P60" i="68"/>
  <c r="AC35" i="78"/>
  <c r="Q35" i="78"/>
  <c r="Z35" i="78"/>
  <c r="T35" i="78"/>
  <c r="W35" i="78"/>
  <c r="AA18" i="65"/>
  <c r="AA1" i="65"/>
  <c r="AD1" i="65"/>
  <c r="J56" i="65"/>
  <c r="U2" i="65"/>
  <c r="AX44" i="65"/>
  <c r="X2" i="65"/>
  <c r="X1" i="65"/>
  <c r="AX43" i="65"/>
  <c r="AX47" i="65"/>
  <c r="AX53" i="68"/>
  <c r="BG53" i="78"/>
  <c r="BE53" i="78"/>
  <c r="S60" i="78"/>
  <c r="AD1" i="68"/>
  <c r="U2" i="68"/>
  <c r="X2" i="68"/>
  <c r="AA1" i="68"/>
  <c r="J42" i="67"/>
  <c r="J43" i="67" s="1"/>
  <c r="O17" i="68"/>
  <c r="N11" i="85"/>
  <c r="K25" i="78"/>
  <c r="J25" i="78"/>
  <c r="M10" i="70"/>
  <c r="K42" i="70"/>
  <c r="K43" i="70"/>
  <c r="J34" i="78"/>
  <c r="K34" i="78"/>
  <c r="AW53" i="78"/>
  <c r="P60" i="78"/>
  <c r="I50" i="71"/>
  <c r="J50" i="71" s="1"/>
  <c r="U6" i="72"/>
  <c r="K37" i="78"/>
  <c r="J37" i="78"/>
  <c r="M8" i="70"/>
  <c r="W8" i="84"/>
  <c r="J51" i="78"/>
  <c r="K51" i="78"/>
  <c r="J49" i="78"/>
  <c r="J42" i="70"/>
  <c r="J43" i="70"/>
  <c r="Z49" i="78"/>
  <c r="Q49" i="78"/>
  <c r="T49" i="78"/>
  <c r="W49" i="78"/>
  <c r="AN36" i="78"/>
  <c r="M8" i="77"/>
  <c r="N9" i="85"/>
  <c r="J41" i="78"/>
  <c r="K41" i="78"/>
  <c r="K33" i="78"/>
  <c r="J33" i="78"/>
  <c r="AA18" i="71"/>
  <c r="T14" i="72" s="1"/>
  <c r="J30" i="78"/>
  <c r="K30" i="78"/>
  <c r="J26" i="78"/>
  <c r="K26" i="78"/>
  <c r="AH55" i="81"/>
  <c r="AH56" i="81"/>
  <c r="U1" i="71"/>
  <c r="U2" i="71"/>
  <c r="J50" i="78"/>
  <c r="K50" i="78"/>
  <c r="AJ36" i="78"/>
  <c r="AO36" i="78"/>
  <c r="AE36" i="78"/>
  <c r="AR36" i="78"/>
  <c r="AS36" i="78"/>
  <c r="AK36" i="78"/>
  <c r="AF36" i="78"/>
  <c r="AM36" i="78"/>
  <c r="AH36" i="78"/>
  <c r="AL36" i="78"/>
  <c r="AP36" i="78"/>
  <c r="I38" i="78"/>
  <c r="T36" i="78"/>
  <c r="W36" i="78"/>
  <c r="Z36" i="78"/>
  <c r="Q36" i="78"/>
  <c r="AC36" i="78"/>
  <c r="B54" i="78"/>
  <c r="B53" i="78"/>
  <c r="J43" i="78"/>
  <c r="AL43" i="78"/>
  <c r="K43" i="78"/>
  <c r="AC43" i="78"/>
  <c r="J32" i="78"/>
  <c r="K32" i="78"/>
  <c r="I23" i="78"/>
  <c r="AA1" i="78"/>
  <c r="AD1" i="78"/>
  <c r="X1" i="78"/>
  <c r="U2" i="78"/>
  <c r="X2" i="78"/>
  <c r="AX45" i="78"/>
  <c r="I19" i="78"/>
  <c r="AC48" i="81"/>
  <c r="I27" i="78"/>
  <c r="I31" i="78"/>
  <c r="J31" i="78"/>
  <c r="AE55" i="81"/>
  <c r="AE56" i="81"/>
  <c r="I17" i="56"/>
  <c r="K42" i="80"/>
  <c r="K43" i="80"/>
  <c r="M6" i="80"/>
  <c r="J47" i="81"/>
  <c r="N6" i="64"/>
  <c r="D17" i="65"/>
  <c r="G17" i="65"/>
  <c r="I45" i="81"/>
  <c r="J45" i="81" s="1"/>
  <c r="AD45" i="81" s="1"/>
  <c r="J27" i="81"/>
  <c r="AE27" i="81" s="1"/>
  <c r="K27" i="81"/>
  <c r="W27" i="81" s="1"/>
  <c r="N16" i="85"/>
  <c r="N8" i="80"/>
  <c r="D19" i="81"/>
  <c r="G19" i="81"/>
  <c r="X2" i="81"/>
  <c r="X1" i="81"/>
  <c r="M7" i="77"/>
  <c r="N7" i="77"/>
  <c r="D18" i="78"/>
  <c r="G18" i="78"/>
  <c r="M7" i="64"/>
  <c r="W12" i="84"/>
  <c r="AH49" i="78"/>
  <c r="AN49" i="78"/>
  <c r="AJ49" i="78"/>
  <c r="AK38" i="62"/>
  <c r="Q43" i="78"/>
  <c r="W43" i="78"/>
  <c r="T43" i="78"/>
  <c r="Z43" i="78"/>
  <c r="AQ51" i="78"/>
  <c r="N15" i="85"/>
  <c r="J30" i="81"/>
  <c r="K30" i="81"/>
  <c r="AK43" i="78"/>
  <c r="AS43" i="78"/>
  <c r="AD43" i="78"/>
  <c r="AG43" i="78"/>
  <c r="AO43" i="78"/>
  <c r="AH43" i="78"/>
  <c r="AJ43" i="78"/>
  <c r="AN43" i="78"/>
  <c r="AM43" i="78"/>
  <c r="AQ43" i="78"/>
  <c r="AF43" i="78"/>
  <c r="AR43" i="78"/>
  <c r="AE43" i="78"/>
  <c r="N8" i="70"/>
  <c r="D19" i="71"/>
  <c r="G19" i="71" s="1"/>
  <c r="N10" i="85"/>
  <c r="AS21" i="47"/>
  <c r="Z20" i="78"/>
  <c r="Q20" i="78"/>
  <c r="AC20" i="78"/>
  <c r="T30" i="78"/>
  <c r="AG30" i="78"/>
  <c r="AL30" i="78"/>
  <c r="AH30" i="78"/>
  <c r="AM30" i="78"/>
  <c r="AP30" i="78"/>
  <c r="AR30" i="78"/>
  <c r="AJ30" i="78"/>
  <c r="AS30" i="78"/>
  <c r="AK30" i="78"/>
  <c r="AD30" i="78"/>
  <c r="AE30" i="78"/>
  <c r="AF30" i="78"/>
  <c r="AN30" i="78"/>
  <c r="AO30" i="78"/>
  <c r="AQ30" i="78"/>
  <c r="AD25" i="78"/>
  <c r="AQ25" i="78"/>
  <c r="AE25" i="78"/>
  <c r="AR25" i="78"/>
  <c r="AF25" i="78"/>
  <c r="AK25" i="78"/>
  <c r="AS25" i="78"/>
  <c r="AH25" i="78"/>
  <c r="AM25" i="78"/>
  <c r="AJ25" i="78"/>
  <c r="AL25" i="78"/>
  <c r="AO25" i="78"/>
  <c r="AG25" i="78"/>
  <c r="AI25" i="78"/>
  <c r="AP25" i="78"/>
  <c r="AN25" i="78"/>
  <c r="N12" i="85"/>
  <c r="N8" i="64"/>
  <c r="D19" i="65"/>
  <c r="G19" i="65"/>
  <c r="W36" i="56"/>
  <c r="T36" i="56"/>
  <c r="AJ48" i="59"/>
  <c r="AH20" i="78"/>
  <c r="AM20" i="78"/>
  <c r="AG20" i="78"/>
  <c r="AN20" i="78"/>
  <c r="AO20" i="78"/>
  <c r="AP20" i="78"/>
  <c r="AR20" i="78"/>
  <c r="AK20" i="78"/>
  <c r="AL20" i="78"/>
  <c r="AQ20" i="78"/>
  <c r="AE20" i="78"/>
  <c r="AD20" i="78"/>
  <c r="AF20" i="78"/>
  <c r="AJ20" i="78"/>
  <c r="AS20" i="78"/>
  <c r="T8" i="54"/>
  <c r="W25" i="78"/>
  <c r="Z25" i="78"/>
  <c r="Q25" i="78"/>
  <c r="AC25" i="78"/>
  <c r="T25" i="78"/>
  <c r="Q50" i="78"/>
  <c r="Z50" i="78"/>
  <c r="AC50" i="78"/>
  <c r="T50" i="78"/>
  <c r="W50" i="78"/>
  <c r="AR45" i="56"/>
  <c r="T51" i="59"/>
  <c r="W20" i="84"/>
  <c r="AC26" i="78"/>
  <c r="W26" i="78"/>
  <c r="Q26" i="78"/>
  <c r="Z26" i="78"/>
  <c r="T26" i="78"/>
  <c r="Z41" i="78"/>
  <c r="N8" i="77"/>
  <c r="D19" i="78"/>
  <c r="G19" i="78"/>
  <c r="AF40" i="65"/>
  <c r="T14" i="54"/>
  <c r="W33" i="78"/>
  <c r="Z33" i="78"/>
  <c r="AC33" i="78"/>
  <c r="T33" i="78"/>
  <c r="Q33" i="78"/>
  <c r="AD34" i="78"/>
  <c r="AI34" i="78"/>
  <c r="AQ34" i="78"/>
  <c r="AG34" i="78"/>
  <c r="AL34" i="78"/>
  <c r="AJ34" i="78"/>
  <c r="AR34" i="78"/>
  <c r="AS34" i="78"/>
  <c r="AE34" i="78"/>
  <c r="AM34" i="78"/>
  <c r="AP34" i="78"/>
  <c r="AF34" i="78"/>
  <c r="AK34" i="78"/>
  <c r="AN34" i="78"/>
  <c r="AO34" i="78"/>
  <c r="AH34" i="78"/>
  <c r="T6" i="63"/>
  <c r="Q51" i="78"/>
  <c r="T51" i="78"/>
  <c r="Z51" i="78"/>
  <c r="AC51" i="78"/>
  <c r="W51" i="78"/>
  <c r="K19" i="78"/>
  <c r="Y34" i="85"/>
  <c r="Z34" i="85"/>
  <c r="J19" i="78"/>
  <c r="AQ19" i="78"/>
  <c r="R60" i="68"/>
  <c r="AT60" i="68"/>
  <c r="N7" i="64"/>
  <c r="D18" i="65"/>
  <c r="G18" i="65"/>
  <c r="AM26" i="81"/>
  <c r="AF26" i="81"/>
  <c r="J27" i="78"/>
  <c r="AJ27" i="78"/>
  <c r="K27" i="78"/>
  <c r="T27" i="78"/>
  <c r="AC27" i="78"/>
  <c r="AE32" i="78"/>
  <c r="AR32" i="78"/>
  <c r="AF32" i="78"/>
  <c r="AK32" i="78"/>
  <c r="AS32" i="78"/>
  <c r="AN32" i="78"/>
  <c r="AH32" i="78"/>
  <c r="AQ32" i="78"/>
  <c r="AJ32" i="78"/>
  <c r="AL32" i="78"/>
  <c r="AM32" i="78"/>
  <c r="AO32" i="78"/>
  <c r="AG32" i="78"/>
  <c r="AP32" i="78"/>
  <c r="AD32" i="78"/>
  <c r="AP26" i="78"/>
  <c r="AD26" i="78"/>
  <c r="AQ26" i="78"/>
  <c r="AE26" i="78"/>
  <c r="AM26" i="78"/>
  <c r="AN26" i="78"/>
  <c r="AS26" i="78"/>
  <c r="AH26" i="78"/>
  <c r="AD33" i="78"/>
  <c r="AQ33" i="78"/>
  <c r="AE33" i="78"/>
  <c r="AI33" i="78"/>
  <c r="AR33" i="78"/>
  <c r="AH33" i="78"/>
  <c r="AM33" i="78"/>
  <c r="AN33" i="78"/>
  <c r="AF33" i="78"/>
  <c r="AO33" i="78"/>
  <c r="AG33" i="78"/>
  <c r="AP33" i="78"/>
  <c r="AJ33" i="78"/>
  <c r="AU33" i="78"/>
  <c r="AL33" i="78"/>
  <c r="AS33" i="78"/>
  <c r="AK33" i="78"/>
  <c r="AF41" i="78"/>
  <c r="AS41" i="78"/>
  <c r="AG41" i="78"/>
  <c r="AL41" i="78"/>
  <c r="AJ41" i="78"/>
  <c r="AO41" i="78"/>
  <c r="AK41" i="78"/>
  <c r="AU41" i="78"/>
  <c r="AD41" i="78"/>
  <c r="AN41" i="78"/>
  <c r="AM41" i="78"/>
  <c r="AP41" i="78"/>
  <c r="AQ41" i="78"/>
  <c r="AR41" i="78"/>
  <c r="AH41" i="78"/>
  <c r="AE41" i="78"/>
  <c r="AN37" i="78"/>
  <c r="AD37" i="78"/>
  <c r="AQ37" i="78"/>
  <c r="AS37" i="78"/>
  <c r="AJ37" i="78"/>
  <c r="AK37" i="78"/>
  <c r="AF37" i="78"/>
  <c r="AM37" i="78"/>
  <c r="AO37" i="78"/>
  <c r="AP37" i="78"/>
  <c r="AR37" i="78"/>
  <c r="AG37" i="78"/>
  <c r="AE37" i="78"/>
  <c r="AH37" i="78"/>
  <c r="AL37" i="78"/>
  <c r="N11" i="61"/>
  <c r="D22" i="62"/>
  <c r="G22" i="62"/>
  <c r="T14" i="60"/>
  <c r="AV41" i="78"/>
  <c r="AM19" i="78"/>
  <c r="AK31" i="78"/>
  <c r="AS31" i="78"/>
  <c r="AG31" i="78"/>
  <c r="AL31" i="78"/>
  <c r="AJ31" i="78"/>
  <c r="AO31" i="78"/>
  <c r="AN31" i="78"/>
  <c r="AE31" i="78"/>
  <c r="AH31" i="78"/>
  <c r="AQ31" i="78"/>
  <c r="AR31" i="78"/>
  <c r="Q27" i="78"/>
  <c r="Z27" i="78"/>
  <c r="W27" i="78"/>
  <c r="AO27" i="78"/>
  <c r="AP27" i="78"/>
  <c r="AD27" i="78"/>
  <c r="AQ27" i="78"/>
  <c r="AF27" i="78"/>
  <c r="AK27" i="78"/>
  <c r="AM27" i="78"/>
  <c r="AN27" i="78"/>
  <c r="AR27" i="78"/>
  <c r="AH27" i="78"/>
  <c r="AG27" i="78"/>
  <c r="AL27" i="78"/>
  <c r="AI20" i="78"/>
  <c r="AU43" i="78"/>
  <c r="AV43" i="78"/>
  <c r="AU25" i="78"/>
  <c r="AV25" i="78"/>
  <c r="AV37" i="78"/>
  <c r="AU37" i="78"/>
  <c r="O9" i="85"/>
  <c r="P9" i="85"/>
  <c r="Z52" i="65"/>
  <c r="AI32" i="78"/>
  <c r="AU34" i="78"/>
  <c r="AV34" i="78"/>
  <c r="AI43" i="78"/>
  <c r="AV31" i="78"/>
  <c r="AU31" i="78"/>
  <c r="AR19" i="78"/>
  <c r="W34" i="85"/>
  <c r="V34" i="85" s="1"/>
  <c r="T34" i="85" s="1"/>
  <c r="AP19" i="78"/>
  <c r="M21" i="85"/>
  <c r="L21" i="85" s="1"/>
  <c r="K21" i="85" s="1"/>
  <c r="M9" i="85"/>
  <c r="L9" i="85" s="1"/>
  <c r="K9" i="85" s="1"/>
  <c r="AO19" i="78"/>
  <c r="AC19" i="78"/>
  <c r="AH19" i="78"/>
  <c r="Q19" i="78"/>
  <c r="AD19" i="78"/>
  <c r="AS19" i="78"/>
  <c r="Y9" i="85"/>
  <c r="Z9" i="85" s="1"/>
  <c r="AN19" i="78"/>
  <c r="AJ19" i="78"/>
  <c r="W21" i="85"/>
  <c r="V21" i="85" s="1"/>
  <c r="T21" i="85" s="1"/>
  <c r="M34" i="85"/>
  <c r="L34" i="85" s="1"/>
  <c r="W9" i="85"/>
  <c r="V9" i="85" s="1"/>
  <c r="T9" i="85" s="1"/>
  <c r="W32" i="78"/>
  <c r="AC32" i="78"/>
  <c r="Z32" i="78"/>
  <c r="Q32" i="78"/>
  <c r="T32" i="78"/>
  <c r="K42" i="31"/>
  <c r="K43" i="31"/>
  <c r="M16" i="31"/>
  <c r="N16" i="31"/>
  <c r="D27" i="47"/>
  <c r="G27" i="47"/>
  <c r="J30" i="56"/>
  <c r="AL30" i="56" s="1"/>
  <c r="AC47" i="81"/>
  <c r="W47" i="81"/>
  <c r="Z30" i="78"/>
  <c r="AC30" i="78"/>
  <c r="W30" i="78"/>
  <c r="Q30" i="78"/>
  <c r="Z37" i="78"/>
  <c r="Q37" i="78"/>
  <c r="AC37" i="78"/>
  <c r="T37" i="78"/>
  <c r="W37" i="78"/>
  <c r="Q34" i="78"/>
  <c r="Z34" i="78"/>
  <c r="T34" i="78"/>
  <c r="AC34" i="78"/>
  <c r="W34" i="78"/>
  <c r="Z19" i="78"/>
  <c r="AG19" i="78"/>
  <c r="AI19" i="78"/>
  <c r="T19" i="78"/>
  <c r="AE19" i="78"/>
  <c r="W19" i="78"/>
  <c r="AF19" i="78"/>
  <c r="Y21" i="85"/>
  <c r="Z21" i="85" s="1"/>
  <c r="O34" i="85"/>
  <c r="P34" i="85" s="1"/>
  <c r="AX54" i="56"/>
  <c r="AE55" i="47"/>
  <c r="AE56" i="47"/>
  <c r="J17" i="81"/>
  <c r="AJ17" i="81" s="1"/>
  <c r="AL51" i="78"/>
  <c r="AH51" i="78"/>
  <c r="AF51" i="78"/>
  <c r="AM51" i="78"/>
  <c r="AN51" i="78"/>
  <c r="AD51" i="78"/>
  <c r="AI51" i="78"/>
  <c r="AO51" i="78"/>
  <c r="AE51" i="78"/>
  <c r="AJ51" i="78"/>
  <c r="AR51" i="78"/>
  <c r="AK51" i="78"/>
  <c r="AU51" i="78"/>
  <c r="AG51" i="78"/>
  <c r="AS51" i="78"/>
  <c r="AP51" i="78"/>
  <c r="AV36" i="78"/>
  <c r="AU36" i="78"/>
  <c r="AV49" i="78"/>
  <c r="AO49" i="78"/>
  <c r="AK49" i="78"/>
  <c r="AF49" i="78"/>
  <c r="AM49" i="78"/>
  <c r="AS49" i="78"/>
  <c r="AP49" i="78"/>
  <c r="AE49" i="78"/>
  <c r="AQ49" i="78"/>
  <c r="AD49" i="78"/>
  <c r="AI49" i="78"/>
  <c r="AL49" i="78"/>
  <c r="AG49" i="78"/>
  <c r="N6" i="80"/>
  <c r="D17" i="81"/>
  <c r="G17" i="81"/>
  <c r="AP31" i="78"/>
  <c r="AF31" i="78"/>
  <c r="AD31" i="78"/>
  <c r="AI31" i="78"/>
  <c r="AM31" i="78"/>
  <c r="AR49" i="78"/>
  <c r="J23" i="78"/>
  <c r="K23" i="78"/>
  <c r="AR26" i="78"/>
  <c r="AO26" i="78"/>
  <c r="AG26" i="78"/>
  <c r="AI26" i="78"/>
  <c r="AJ26" i="78"/>
  <c r="AK26" i="78"/>
  <c r="AL26" i="78"/>
  <c r="AF26" i="78"/>
  <c r="J42" i="31"/>
  <c r="J43" i="31"/>
  <c r="W41" i="78"/>
  <c r="AC41" i="78"/>
  <c r="Q41" i="78"/>
  <c r="J47" i="78"/>
  <c r="K47" i="78"/>
  <c r="Z47" i="78"/>
  <c r="M39" i="77"/>
  <c r="N39" i="77"/>
  <c r="D50" i="78"/>
  <c r="G50" i="78"/>
  <c r="K42" i="77"/>
  <c r="K43" i="77"/>
  <c r="W44" i="81"/>
  <c r="AC44" i="81"/>
  <c r="T41" i="78"/>
  <c r="N8" i="55"/>
  <c r="D19" i="56"/>
  <c r="G19" i="56"/>
  <c r="W6" i="84"/>
  <c r="AF35" i="59"/>
  <c r="N11" i="31"/>
  <c r="D22" i="47"/>
  <c r="G22" i="47"/>
  <c r="AS27" i="78"/>
  <c r="AD55" i="68"/>
  <c r="AD56" i="68"/>
  <c r="T6" i="69"/>
  <c r="AQ21" i="47"/>
  <c r="S60" i="62"/>
  <c r="BD53" i="47"/>
  <c r="BB53" i="47"/>
  <c r="U17" i="56"/>
  <c r="N10" i="70"/>
  <c r="D21" i="71"/>
  <c r="G21" i="71" s="1"/>
  <c r="M42" i="70"/>
  <c r="M43" i="70"/>
  <c r="X17" i="47"/>
  <c r="U12" i="54"/>
  <c r="AM44" i="56"/>
  <c r="M25" i="61"/>
  <c r="N25" i="61"/>
  <c r="D36" i="62"/>
  <c r="G36" i="62"/>
  <c r="K42" i="61"/>
  <c r="K43" i="61"/>
  <c r="BG53" i="65"/>
  <c r="BE53" i="65"/>
  <c r="S60" i="65"/>
  <c r="AP43" i="78"/>
  <c r="I24" i="47"/>
  <c r="K24" i="47" s="1"/>
  <c r="AC24" i="47" s="1"/>
  <c r="J42" i="55"/>
  <c r="J43" i="55"/>
  <c r="BD53" i="56"/>
  <c r="BB53" i="56"/>
  <c r="T8" i="57"/>
  <c r="J42" i="61"/>
  <c r="J43" i="61"/>
  <c r="B54" i="47"/>
  <c r="BD53" i="65"/>
  <c r="BB53" i="65"/>
  <c r="AT60" i="65"/>
  <c r="U17" i="65"/>
  <c r="U10" i="66"/>
  <c r="BG53" i="47"/>
  <c r="BE53" i="47"/>
  <c r="S60" i="47"/>
  <c r="U17" i="47"/>
  <c r="U10" i="54"/>
  <c r="K40" i="78"/>
  <c r="J40" i="78"/>
  <c r="AR40" i="78"/>
  <c r="K39" i="59"/>
  <c r="W39" i="59" s="1"/>
  <c r="AX42" i="65"/>
  <c r="U1" i="65"/>
  <c r="AX45" i="65"/>
  <c r="J46" i="78"/>
  <c r="K46" i="78"/>
  <c r="U2" i="62"/>
  <c r="I49" i="65"/>
  <c r="J49" i="65" s="1"/>
  <c r="U14" i="72"/>
  <c r="K31" i="71"/>
  <c r="Q31" i="71" s="1"/>
  <c r="U1" i="62"/>
  <c r="K39" i="78"/>
  <c r="J39" i="78"/>
  <c r="J29" i="78"/>
  <c r="K29" i="78"/>
  <c r="J42" i="77"/>
  <c r="J43" i="77"/>
  <c r="BD53" i="81"/>
  <c r="BB53" i="81"/>
  <c r="O17" i="81"/>
  <c r="AD55" i="81"/>
  <c r="AD56" i="81"/>
  <c r="U6" i="82"/>
  <c r="O18" i="78"/>
  <c r="U6" i="79"/>
  <c r="AA1" i="71"/>
  <c r="AX43" i="71"/>
  <c r="AX47" i="71"/>
  <c r="I42" i="78"/>
  <c r="J42" i="78"/>
  <c r="AD36" i="78"/>
  <c r="AG36" i="78"/>
  <c r="U12" i="79"/>
  <c r="X18" i="78"/>
  <c r="I22" i="78"/>
  <c r="K17" i="59"/>
  <c r="T17" i="59" s="1"/>
  <c r="U17" i="81"/>
  <c r="U10" i="82"/>
  <c r="M6" i="58"/>
  <c r="I48" i="78"/>
  <c r="J24" i="78"/>
  <c r="K24" i="78"/>
  <c r="Q24" i="78"/>
  <c r="U1" i="78"/>
  <c r="J56" i="78"/>
  <c r="AX44" i="78"/>
  <c r="AX53" i="78"/>
  <c r="I21" i="78"/>
  <c r="M7" i="58"/>
  <c r="N7" i="58"/>
  <c r="D18" i="59"/>
  <c r="G18" i="59"/>
  <c r="AX53" i="81"/>
  <c r="AW54" i="81"/>
  <c r="AW53" i="81"/>
  <c r="P60" i="81"/>
  <c r="U14" i="82"/>
  <c r="I41" i="81"/>
  <c r="I18" i="78"/>
  <c r="T24" i="78"/>
  <c r="AC24" i="78"/>
  <c r="Z24" i="78"/>
  <c r="W24" i="78"/>
  <c r="AI36" i="78"/>
  <c r="AT60" i="59"/>
  <c r="AL23" i="78"/>
  <c r="AE23" i="78"/>
  <c r="AH23" i="78"/>
  <c r="AR23" i="78"/>
  <c r="AF23" i="78"/>
  <c r="AO23" i="78"/>
  <c r="AP23" i="78"/>
  <c r="AQ23" i="78"/>
  <c r="AS23" i="78"/>
  <c r="AD23" i="78"/>
  <c r="AI23" i="78"/>
  <c r="AG23" i="78"/>
  <c r="AJ23" i="78"/>
  <c r="AM23" i="78"/>
  <c r="AN23" i="78"/>
  <c r="AK23" i="78"/>
  <c r="K49" i="65"/>
  <c r="AL40" i="78"/>
  <c r="AF40" i="78"/>
  <c r="AQ40" i="78"/>
  <c r="AG40" i="78"/>
  <c r="AJ40" i="78"/>
  <c r="AP40" i="78"/>
  <c r="AK40" i="78"/>
  <c r="AD40" i="78"/>
  <c r="AO40" i="78"/>
  <c r="AU49" i="78"/>
  <c r="W16" i="84"/>
  <c r="T6" i="82"/>
  <c r="Z29" i="78"/>
  <c r="AV50" i="56"/>
  <c r="AE47" i="78"/>
  <c r="AO47" i="78"/>
  <c r="AS47" i="78"/>
  <c r="AV26" i="78"/>
  <c r="AU26" i="78"/>
  <c r="AP24" i="78"/>
  <c r="AM24" i="78"/>
  <c r="AS24" i="78"/>
  <c r="AG24" i="78"/>
  <c r="AL24" i="78"/>
  <c r="AJ24" i="78"/>
  <c r="AE24" i="78"/>
  <c r="AR24" i="78"/>
  <c r="AO24" i="78"/>
  <c r="AF24" i="78"/>
  <c r="T10" i="82"/>
  <c r="AF55" i="81"/>
  <c r="AF56" i="81"/>
  <c r="J22" i="78"/>
  <c r="K22" i="78"/>
  <c r="K42" i="78"/>
  <c r="AK29" i="78"/>
  <c r="AL29" i="78"/>
  <c r="AJ29" i="78"/>
  <c r="AE29" i="78"/>
  <c r="AO29" i="78"/>
  <c r="AF29" i="78"/>
  <c r="AM29" i="78"/>
  <c r="AN29" i="78"/>
  <c r="AD29" i="78"/>
  <c r="AQ29" i="78"/>
  <c r="AG29" i="78"/>
  <c r="AP29" i="78"/>
  <c r="AS29" i="78"/>
  <c r="AH29" i="78"/>
  <c r="AR29" i="78"/>
  <c r="W46" i="78"/>
  <c r="Q46" i="78"/>
  <c r="AC46" i="78"/>
  <c r="T46" i="78"/>
  <c r="Z46" i="78"/>
  <c r="T10" i="57"/>
  <c r="B53" i="56"/>
  <c r="AC17" i="81"/>
  <c r="AH39" i="78"/>
  <c r="AR39" i="78"/>
  <c r="AP39" i="78"/>
  <c r="AE39" i="78"/>
  <c r="AM39" i="78"/>
  <c r="AQ39" i="78"/>
  <c r="AG39" i="78"/>
  <c r="AF39" i="78"/>
  <c r="AN39" i="78"/>
  <c r="AJ39" i="78"/>
  <c r="AK39" i="78"/>
  <c r="AL39" i="78"/>
  <c r="AD39" i="78"/>
  <c r="AI39" i="78"/>
  <c r="AS39" i="78"/>
  <c r="AO39" i="78"/>
  <c r="AC47" i="78"/>
  <c r="Z23" i="78"/>
  <c r="AC23" i="78"/>
  <c r="W23" i="78"/>
  <c r="T23" i="78"/>
  <c r="Q23" i="78"/>
  <c r="T39" i="78"/>
  <c r="AC39" i="78"/>
  <c r="W39" i="78"/>
  <c r="Q39" i="78"/>
  <c r="Z39" i="78"/>
  <c r="T10" i="66"/>
  <c r="AF55" i="65"/>
  <c r="AF56" i="65"/>
  <c r="AH31" i="47"/>
  <c r="T6" i="79"/>
  <c r="R60" i="65"/>
  <c r="AX53" i="65"/>
  <c r="Q40" i="78"/>
  <c r="W40" i="78"/>
  <c r="T40" i="78"/>
  <c r="AC40" i="78"/>
  <c r="Z40" i="78"/>
  <c r="T12" i="79"/>
  <c r="AG55" i="78"/>
  <c r="AG56" i="78"/>
  <c r="AF55" i="47"/>
  <c r="AF56" i="47"/>
  <c r="T10" i="54"/>
  <c r="AO46" i="78"/>
  <c r="AQ46" i="78"/>
  <c r="AJ46" i="78"/>
  <c r="AF46" i="78"/>
  <c r="AK46" i="78"/>
  <c r="AN46" i="78"/>
  <c r="AL46" i="78"/>
  <c r="AD46" i="78"/>
  <c r="AP46" i="78"/>
  <c r="AG46" i="78"/>
  <c r="AE46" i="78"/>
  <c r="AM46" i="78"/>
  <c r="AH46" i="78"/>
  <c r="AI46" i="78"/>
  <c r="AR46" i="78"/>
  <c r="AS46" i="78"/>
  <c r="AV23" i="78"/>
  <c r="AU23" i="78"/>
  <c r="V6" i="84"/>
  <c r="M8" i="84" s="1"/>
  <c r="L8" i="84" s="1"/>
  <c r="Z42" i="78"/>
  <c r="W42" i="78"/>
  <c r="T42" i="78"/>
  <c r="W22" i="78"/>
  <c r="T22" i="78"/>
  <c r="Q22" i="78"/>
  <c r="AL22" i="78"/>
  <c r="AM22" i="78"/>
  <c r="AJ22" i="78"/>
  <c r="AD22" i="78"/>
  <c r="AI22" i="78"/>
  <c r="AQ22" i="78"/>
  <c r="AG22" i="78"/>
  <c r="AO22" i="78"/>
  <c r="AK22" i="78"/>
  <c r="AS22" i="78"/>
  <c r="AN22" i="78"/>
  <c r="AR22" i="78"/>
  <c r="AP22" i="78"/>
  <c r="AE22" i="78"/>
  <c r="AH22" i="78"/>
  <c r="AF22" i="78"/>
  <c r="AI29" i="78"/>
  <c r="AF23" i="59"/>
  <c r="AU29" i="78"/>
  <c r="AV29" i="78"/>
  <c r="X6" i="84"/>
  <c r="Y6" i="84"/>
  <c r="AJ42" i="78"/>
  <c r="AD42" i="78"/>
  <c r="AH42" i="78"/>
  <c r="AR42" i="78"/>
  <c r="AK42" i="78"/>
  <c r="AG42" i="78"/>
  <c r="AN42" i="78"/>
  <c r="AQ42" i="78"/>
  <c r="AL42" i="78"/>
  <c r="AP42" i="78"/>
  <c r="AE42" i="78"/>
  <c r="AO42" i="78"/>
  <c r="AF42" i="78"/>
  <c r="AS42" i="78"/>
  <c r="AM42" i="78"/>
  <c r="AU46" i="78"/>
  <c r="AV46" i="78"/>
  <c r="AV42" i="78"/>
  <c r="AU42" i="78"/>
  <c r="AU22" i="78"/>
  <c r="AV22" i="78"/>
  <c r="AG55" i="56"/>
  <c r="AG56" i="56"/>
  <c r="AE55" i="56"/>
  <c r="AE56" i="56"/>
  <c r="AD55" i="56"/>
  <c r="AD56" i="56"/>
  <c r="AH55" i="56"/>
  <c r="AH56" i="56"/>
  <c r="M7" i="55"/>
  <c r="AF55" i="62"/>
  <c r="AF56" i="62"/>
  <c r="N8" i="61"/>
  <c r="D19" i="62"/>
  <c r="G19" i="62"/>
  <c r="M42" i="61"/>
  <c r="M43" i="61"/>
  <c r="N13" i="85"/>
  <c r="N7" i="55"/>
  <c r="D18" i="56"/>
  <c r="G18" i="56"/>
  <c r="C44" i="70"/>
  <c r="C44" i="67"/>
  <c r="C44" i="61"/>
  <c r="B54" i="65"/>
  <c r="C44" i="77"/>
  <c r="C44" i="31"/>
  <c r="B54" i="62"/>
  <c r="AX54" i="62"/>
  <c r="B54" i="68"/>
  <c r="AX54" i="68"/>
  <c r="C44" i="64"/>
  <c r="B53" i="47"/>
  <c r="AZ55" i="56"/>
  <c r="AZ53" i="56"/>
  <c r="Q60" i="56"/>
  <c r="AZ55" i="78"/>
  <c r="AZ53" i="78"/>
  <c r="Q60" i="78"/>
  <c r="AX54" i="78"/>
  <c r="C44" i="80"/>
  <c r="AX54" i="65"/>
  <c r="B53" i="65"/>
  <c r="AZ55" i="47"/>
  <c r="AZ53" i="47"/>
  <c r="Q60" i="47"/>
  <c r="AZ55" i="65"/>
  <c r="AZ53" i="65"/>
  <c r="Q60" i="65"/>
  <c r="AT60" i="81"/>
  <c r="R60" i="81"/>
  <c r="AT60" i="56"/>
  <c r="R60" i="56"/>
  <c r="AQ47" i="78"/>
  <c r="AP47" i="78"/>
  <c r="AL47" i="78"/>
  <c r="AF47" i="78"/>
  <c r="AR47" i="78"/>
  <c r="AJ47" i="78"/>
  <c r="AG47" i="78"/>
  <c r="AH47" i="78"/>
  <c r="AM47" i="78"/>
  <c r="AK47" i="78"/>
  <c r="R60" i="78"/>
  <c r="AT60" i="78"/>
  <c r="AV51" i="78"/>
  <c r="T47" i="78"/>
  <c r="Z22" i="78"/>
  <c r="AC22" i="78"/>
  <c r="J52" i="47"/>
  <c r="B53" i="68"/>
  <c r="N17" i="31"/>
  <c r="D28" i="47"/>
  <c r="G28" i="47"/>
  <c r="M42" i="31"/>
  <c r="M43" i="31"/>
  <c r="B53" i="62"/>
  <c r="Q42" i="78"/>
  <c r="AC42" i="78"/>
  <c r="AF55" i="56"/>
  <c r="AF56" i="56"/>
  <c r="J18" i="78"/>
  <c r="K18" i="78"/>
  <c r="AI42" i="78"/>
  <c r="K33" i="47"/>
  <c r="Q47" i="78"/>
  <c r="W47" i="78"/>
  <c r="T29" i="78"/>
  <c r="AC29" i="78"/>
  <c r="Q29" i="78"/>
  <c r="W29" i="78"/>
  <c r="AN47" i="78"/>
  <c r="AV40" i="78"/>
  <c r="AU40" i="78"/>
  <c r="M42" i="58"/>
  <c r="M43" i="58"/>
  <c r="N6" i="58"/>
  <c r="D17" i="59"/>
  <c r="G17" i="59"/>
  <c r="AH23" i="59"/>
  <c r="R60" i="47"/>
  <c r="AT60" i="47"/>
  <c r="AH55" i="47"/>
  <c r="AH56" i="47"/>
  <c r="AU39" i="78"/>
  <c r="AV39" i="78"/>
  <c r="AU30" i="78"/>
  <c r="AV30" i="78"/>
  <c r="AD47" i="78"/>
  <c r="K21" i="78"/>
  <c r="J21" i="78"/>
  <c r="T12" i="54"/>
  <c r="AG55" i="47"/>
  <c r="AG56" i="47"/>
  <c r="AQ24" i="78"/>
  <c r="AK24" i="78"/>
  <c r="AH24" i="78"/>
  <c r="AN24" i="78"/>
  <c r="AD24" i="78"/>
  <c r="AI24" i="78"/>
  <c r="K37" i="47"/>
  <c r="T37" i="47" s="1"/>
  <c r="K48" i="78"/>
  <c r="J48" i="78"/>
  <c r="AH32" i="65"/>
  <c r="AO32" i="65"/>
  <c r="AD50" i="78"/>
  <c r="AM50" i="78"/>
  <c r="AQ50" i="78"/>
  <c r="AN50" i="78"/>
  <c r="AG50" i="78"/>
  <c r="AE50" i="78"/>
  <c r="AL50" i="78"/>
  <c r="AH50" i="78"/>
  <c r="AF50" i="78"/>
  <c r="AS50" i="78"/>
  <c r="AR50" i="78"/>
  <c r="AP50" i="78"/>
  <c r="AK50" i="78"/>
  <c r="AJ50" i="78"/>
  <c r="AO50" i="78"/>
  <c r="AR43" i="56"/>
  <c r="AF43" i="56"/>
  <c r="J38" i="78"/>
  <c r="K38" i="78"/>
  <c r="X1" i="47"/>
  <c r="AD1" i="47"/>
  <c r="X2" i="47"/>
  <c r="AX45" i="47"/>
  <c r="J56" i="47"/>
  <c r="AX46" i="47"/>
  <c r="AX47" i="47"/>
  <c r="AX42" i="47"/>
  <c r="AX43" i="47"/>
  <c r="AX44" i="47"/>
  <c r="U1" i="47"/>
  <c r="BG53" i="59"/>
  <c r="BE53" i="59"/>
  <c r="S60" i="59"/>
  <c r="U8" i="60"/>
  <c r="R18" i="59"/>
  <c r="N14" i="85"/>
  <c r="N8" i="58"/>
  <c r="D19" i="59"/>
  <c r="G19" i="59"/>
  <c r="M23" i="64"/>
  <c r="AH55" i="59"/>
  <c r="AH56" i="59"/>
  <c r="AD55" i="65"/>
  <c r="AD56" i="65"/>
  <c r="AP40" i="65"/>
  <c r="AN40" i="78"/>
  <c r="AE40" i="78"/>
  <c r="AI40" i="78"/>
  <c r="AV33" i="78"/>
  <c r="AV32" i="78"/>
  <c r="AU32" i="78"/>
  <c r="AK39" i="59"/>
  <c r="AL39" i="59"/>
  <c r="AO39" i="59"/>
  <c r="AM39" i="59"/>
  <c r="AP39" i="59"/>
  <c r="AR39" i="59"/>
  <c r="M42" i="77"/>
  <c r="M43" i="77"/>
  <c r="AP19" i="81"/>
  <c r="AI41" i="78"/>
  <c r="Q21" i="56"/>
  <c r="AP21" i="47"/>
  <c r="U2" i="47"/>
  <c r="AS40" i="78"/>
  <c r="AH40" i="78"/>
  <c r="R60" i="62"/>
  <c r="AA1" i="47"/>
  <c r="AM40" i="78"/>
  <c r="AD55" i="47"/>
  <c r="AD56" i="47"/>
  <c r="AI37" i="78"/>
  <c r="AV20" i="78"/>
  <c r="AU20" i="78"/>
  <c r="T14" i="66"/>
  <c r="AH55" i="65"/>
  <c r="AH56" i="65"/>
  <c r="AE27" i="78"/>
  <c r="AI27" i="78"/>
  <c r="AL19" i="78"/>
  <c r="AI30" i="78"/>
  <c r="K52" i="81"/>
  <c r="J52" i="81"/>
  <c r="AG52" i="81" s="1"/>
  <c r="AX53" i="59"/>
  <c r="O21" i="85"/>
  <c r="P21" i="85" s="1"/>
  <c r="T20" i="78"/>
  <c r="W20" i="78"/>
  <c r="AO19" i="59"/>
  <c r="I47" i="56"/>
  <c r="K47" i="56" s="1"/>
  <c r="Z47" i="56" s="1"/>
  <c r="AW54" i="56"/>
  <c r="AW53" i="56"/>
  <c r="P60" i="56"/>
  <c r="B54" i="59"/>
  <c r="AD55" i="59"/>
  <c r="AD56" i="59"/>
  <c r="AE55" i="62"/>
  <c r="AE56" i="62"/>
  <c r="M42" i="80"/>
  <c r="M43" i="80"/>
  <c r="Y14" i="85"/>
  <c r="Z14" i="85" s="1"/>
  <c r="AC19" i="59"/>
  <c r="I44" i="47"/>
  <c r="J44" i="47" s="1"/>
  <c r="I39" i="47"/>
  <c r="K39" i="47" s="1"/>
  <c r="W39" i="47" s="1"/>
  <c r="AA17" i="78"/>
  <c r="U14" i="79"/>
  <c r="K24" i="56"/>
  <c r="AD26" i="62"/>
  <c r="K31" i="78"/>
  <c r="BG53" i="56"/>
  <c r="BE53" i="56"/>
  <c r="S60" i="56"/>
  <c r="T12" i="60"/>
  <c r="AG55" i="59"/>
  <c r="AG56" i="59"/>
  <c r="K42" i="58"/>
  <c r="K43" i="58"/>
  <c r="J48" i="62"/>
  <c r="K39" i="62"/>
  <c r="T39" i="62" s="1"/>
  <c r="AD55" i="62"/>
  <c r="AD56" i="62"/>
  <c r="I50" i="47"/>
  <c r="K50" i="47" s="1"/>
  <c r="W25" i="85"/>
  <c r="V25" i="85" s="1"/>
  <c r="T25" i="85" s="1"/>
  <c r="U18" i="59"/>
  <c r="U10" i="60"/>
  <c r="I44" i="62"/>
  <c r="J44" i="62" s="1"/>
  <c r="AH55" i="62"/>
  <c r="AH56" i="62"/>
  <c r="K43" i="65"/>
  <c r="AC43" i="65" s="1"/>
  <c r="AF55" i="78"/>
  <c r="AF56" i="78"/>
  <c r="R18" i="65"/>
  <c r="U8" i="66"/>
  <c r="I44" i="68"/>
  <c r="N8" i="67"/>
  <c r="D19" i="68"/>
  <c r="G19" i="68"/>
  <c r="AG55" i="81"/>
  <c r="AG56" i="81"/>
  <c r="BG53" i="68"/>
  <c r="BE53" i="68"/>
  <c r="S60" i="68"/>
  <c r="K44" i="78"/>
  <c r="J44" i="78"/>
  <c r="K34" i="81"/>
  <c r="T34" i="81" s="1"/>
  <c r="J34" i="81"/>
  <c r="AG34" i="81" s="1"/>
  <c r="K52" i="78"/>
  <c r="J52" i="78"/>
  <c r="I26" i="68"/>
  <c r="J26" i="68" s="1"/>
  <c r="AX42" i="71"/>
  <c r="J35" i="78"/>
  <c r="J28" i="78"/>
  <c r="K28" i="78"/>
  <c r="R17" i="78"/>
  <c r="K42" i="55"/>
  <c r="K43" i="55"/>
  <c r="M6" i="55"/>
  <c r="B54" i="81"/>
  <c r="I45" i="78"/>
  <c r="BG53" i="81"/>
  <c r="BE53" i="81"/>
  <c r="S60" i="81"/>
  <c r="AA1" i="81"/>
  <c r="N6" i="55"/>
  <c r="D17" i="56"/>
  <c r="G17" i="56"/>
  <c r="M42" i="55"/>
  <c r="M43" i="55"/>
  <c r="AO18" i="78"/>
  <c r="AK18" i="78"/>
  <c r="AQ18" i="78"/>
  <c r="AR18" i="78"/>
  <c r="AP18" i="78"/>
  <c r="AJ18" i="78"/>
  <c r="AM18" i="78"/>
  <c r="AS18" i="78"/>
  <c r="AN18" i="78"/>
  <c r="AQ35" i="78"/>
  <c r="AJ35" i="78"/>
  <c r="AR35" i="78"/>
  <c r="AS35" i="78"/>
  <c r="AE35" i="78"/>
  <c r="AD35" i="78"/>
  <c r="AG35" i="78"/>
  <c r="AO35" i="78"/>
  <c r="AH35" i="78"/>
  <c r="AN35" i="78"/>
  <c r="AK35" i="78"/>
  <c r="AF35" i="78"/>
  <c r="AL35" i="78"/>
  <c r="AM35" i="78"/>
  <c r="AP35" i="78"/>
  <c r="Z37" i="65"/>
  <c r="AH55" i="78"/>
  <c r="AH56" i="78"/>
  <c r="T14" i="79"/>
  <c r="AV27" i="78"/>
  <c r="AU27" i="78"/>
  <c r="AX53" i="47"/>
  <c r="AX54" i="47"/>
  <c r="Z22" i="47"/>
  <c r="W22" i="47"/>
  <c r="AU47" i="78"/>
  <c r="AV47" i="78"/>
  <c r="Z27" i="59"/>
  <c r="AS46" i="59"/>
  <c r="AF46" i="59"/>
  <c r="AG46" i="59"/>
  <c r="AJ46" i="59"/>
  <c r="AE48" i="78"/>
  <c r="AG48" i="78"/>
  <c r="AN48" i="78"/>
  <c r="AM48" i="78"/>
  <c r="AK48" i="78"/>
  <c r="AO48" i="78"/>
  <c r="AJ48" i="78"/>
  <c r="AH48" i="78"/>
  <c r="AD48" i="78"/>
  <c r="AF48" i="78"/>
  <c r="AL48" i="78"/>
  <c r="AP48" i="78"/>
  <c r="AQ48" i="78"/>
  <c r="AR48" i="78"/>
  <c r="AS48" i="78"/>
  <c r="AI47" i="78"/>
  <c r="AG28" i="78"/>
  <c r="AJ28" i="78"/>
  <c r="AD28" i="78"/>
  <c r="AI28" i="78"/>
  <c r="AO28" i="78"/>
  <c r="AQ28" i="78"/>
  <c r="AK28" i="78"/>
  <c r="AF28" i="78"/>
  <c r="AP28" i="78"/>
  <c r="AS28" i="78"/>
  <c r="AM28" i="78"/>
  <c r="AH28" i="78"/>
  <c r="AL28" i="78"/>
  <c r="AN28" i="78"/>
  <c r="AE28" i="78"/>
  <c r="AR28" i="78"/>
  <c r="T8" i="66"/>
  <c r="AE55" i="65"/>
  <c r="AE56" i="65"/>
  <c r="AU43" i="65"/>
  <c r="AH43" i="65"/>
  <c r="AR38" i="78"/>
  <c r="AJ38" i="78"/>
  <c r="AQ38" i="78"/>
  <c r="AD38" i="78"/>
  <c r="AI38" i="78"/>
  <c r="AM38" i="78"/>
  <c r="AP38" i="78"/>
  <c r="AL38" i="78"/>
  <c r="AN38" i="78"/>
  <c r="AG38" i="78"/>
  <c r="AH38" i="78"/>
  <c r="AS38" i="78"/>
  <c r="AK38" i="78"/>
  <c r="AO38" i="78"/>
  <c r="AE38" i="78"/>
  <c r="AF38" i="78"/>
  <c r="Q21" i="81"/>
  <c r="T44" i="78"/>
  <c r="W44" i="78"/>
  <c r="Z44" i="78"/>
  <c r="AC44" i="78"/>
  <c r="Q44" i="78"/>
  <c r="B53" i="59"/>
  <c r="AV50" i="78"/>
  <c r="AU50" i="78"/>
  <c r="W37" i="47"/>
  <c r="AD21" i="78"/>
  <c r="AF21" i="78"/>
  <c r="AQ21" i="78"/>
  <c r="AR21" i="78"/>
  <c r="AE21" i="78"/>
  <c r="AO21" i="78"/>
  <c r="AG21" i="78"/>
  <c r="AH21" i="78"/>
  <c r="AM21" i="78"/>
  <c r="AS21" i="78"/>
  <c r="AN21" i="78"/>
  <c r="AJ21" i="78"/>
  <c r="AP21" i="78"/>
  <c r="AL21" i="78"/>
  <c r="AK21" i="78"/>
  <c r="AU19" i="78"/>
  <c r="AV19" i="78" s="1"/>
  <c r="AK19" i="78" s="1"/>
  <c r="AZ53" i="62"/>
  <c r="Q60" i="62"/>
  <c r="AZ55" i="62"/>
  <c r="Z52" i="47"/>
  <c r="W52" i="47"/>
  <c r="T52" i="47"/>
  <c r="T10" i="60"/>
  <c r="AF55" i="59"/>
  <c r="AF56" i="59"/>
  <c r="Q48" i="78"/>
  <c r="AC48" i="78"/>
  <c r="Z48" i="78"/>
  <c r="W48" i="78"/>
  <c r="T48" i="78"/>
  <c r="AV24" i="78"/>
  <c r="AU24" i="78"/>
  <c r="AM44" i="78"/>
  <c r="AG44" i="78"/>
  <c r="AL44" i="78"/>
  <c r="AK44" i="78"/>
  <c r="AN44" i="78"/>
  <c r="AP44" i="78"/>
  <c r="AO44" i="78"/>
  <c r="AS44" i="78"/>
  <c r="AD44" i="78"/>
  <c r="AI44" i="78"/>
  <c r="AJ44" i="78"/>
  <c r="AH44" i="78"/>
  <c r="AQ44" i="78"/>
  <c r="AR44" i="78"/>
  <c r="AE44" i="78"/>
  <c r="AF44" i="78"/>
  <c r="J52" i="62"/>
  <c r="AQ52" i="62" s="1"/>
  <c r="Q39" i="62"/>
  <c r="AR52" i="81"/>
  <c r="AS52" i="81"/>
  <c r="AM52" i="81"/>
  <c r="AK52" i="81"/>
  <c r="AS52" i="47"/>
  <c r="AK52" i="47"/>
  <c r="AR52" i="47"/>
  <c r="AV52" i="47"/>
  <c r="AP52" i="47"/>
  <c r="AO52" i="47"/>
  <c r="AF52" i="47"/>
  <c r="AQ52" i="47"/>
  <c r="AH52" i="47"/>
  <c r="AD52" i="47"/>
  <c r="AJ52" i="47"/>
  <c r="AL52" i="47"/>
  <c r="J45" i="78"/>
  <c r="K45" i="78"/>
  <c r="T8" i="79"/>
  <c r="AE55" i="78"/>
  <c r="AE56" i="78"/>
  <c r="AG52" i="78"/>
  <c r="AL52" i="78"/>
  <c r="AO52" i="78"/>
  <c r="AP52" i="78"/>
  <c r="AD52" i="78"/>
  <c r="AE52" i="78"/>
  <c r="AR52" i="78"/>
  <c r="AH52" i="78"/>
  <c r="AM52" i="78"/>
  <c r="AF52" i="78"/>
  <c r="AN52" i="78"/>
  <c r="AQ52" i="78"/>
  <c r="AS52" i="78"/>
  <c r="AK52" i="78"/>
  <c r="AJ52" i="78"/>
  <c r="AE37" i="47"/>
  <c r="AM37" i="47"/>
  <c r="AK37" i="47"/>
  <c r="AF37" i="47"/>
  <c r="AP37" i="47"/>
  <c r="AQ37" i="47"/>
  <c r="AO37" i="47"/>
  <c r="AD37" i="47"/>
  <c r="AJ37" i="47"/>
  <c r="AS37" i="47"/>
  <c r="AG37" i="47"/>
  <c r="AN37" i="47"/>
  <c r="AL37" i="47"/>
  <c r="AR37" i="47"/>
  <c r="AH37" i="47"/>
  <c r="AV37" i="47"/>
  <c r="Q21" i="78"/>
  <c r="AC21" i="78"/>
  <c r="W21" i="78"/>
  <c r="T21" i="78"/>
  <c r="Z21" i="78"/>
  <c r="AI50" i="78"/>
  <c r="Z33" i="47"/>
  <c r="Q34" i="81"/>
  <c r="Q31" i="78"/>
  <c r="T31" i="78"/>
  <c r="AC31" i="78"/>
  <c r="Z31" i="78"/>
  <c r="W31" i="78"/>
  <c r="Q38" i="78"/>
  <c r="W38" i="78"/>
  <c r="AC38" i="78"/>
  <c r="T38" i="78"/>
  <c r="Z38" i="78"/>
  <c r="J34" i="47"/>
  <c r="AL34" i="47" s="1"/>
  <c r="N23" i="64"/>
  <c r="D34" i="65"/>
  <c r="G34" i="65"/>
  <c r="M42" i="64"/>
  <c r="M43" i="64"/>
  <c r="B53" i="81"/>
  <c r="Z28" i="78"/>
  <c r="T28" i="78"/>
  <c r="AC28" i="78"/>
  <c r="W28" i="78"/>
  <c r="Q28" i="78"/>
  <c r="W52" i="78"/>
  <c r="Z52" i="78"/>
  <c r="T52" i="78"/>
  <c r="AC52" i="78"/>
  <c r="Q52" i="78"/>
  <c r="AX54" i="59"/>
  <c r="AX54" i="81"/>
  <c r="T8" i="60"/>
  <c r="AE55" i="59"/>
  <c r="AE56" i="59"/>
  <c r="AC18" i="78"/>
  <c r="AH18" i="78"/>
  <c r="Q18" i="78"/>
  <c r="AD18" i="78"/>
  <c r="W18" i="78"/>
  <c r="AF18" i="78"/>
  <c r="Z18" i="78"/>
  <c r="AG18" i="78"/>
  <c r="T18" i="78"/>
  <c r="AE18" i="78"/>
  <c r="AZ55" i="68"/>
  <c r="AZ53" i="68"/>
  <c r="Q60" i="68"/>
  <c r="AI18" i="78"/>
  <c r="Q45" i="78"/>
  <c r="Z45" i="78"/>
  <c r="AC45" i="78"/>
  <c r="T45" i="78"/>
  <c r="W45" i="78"/>
  <c r="AV52" i="78"/>
  <c r="AU52" i="78"/>
  <c r="AI35" i="78"/>
  <c r="AR34" i="47"/>
  <c r="AP34" i="47"/>
  <c r="AL52" i="62"/>
  <c r="AV28" i="78"/>
  <c r="AU28" i="78"/>
  <c r="AI48" i="78"/>
  <c r="AV38" i="78"/>
  <c r="AU38" i="78"/>
  <c r="AD44" i="62"/>
  <c r="AN44" i="62"/>
  <c r="AO44" i="62"/>
  <c r="AQ44" i="62"/>
  <c r="AE44" i="62"/>
  <c r="AH44" i="62"/>
  <c r="AM44" i="62"/>
  <c r="AP44" i="62"/>
  <c r="AL44" i="62"/>
  <c r="AF44" i="62"/>
  <c r="AV48" i="78"/>
  <c r="AU48" i="78"/>
  <c r="AI21" i="78"/>
  <c r="AU35" i="78"/>
  <c r="AV35" i="78"/>
  <c r="AS45" i="78"/>
  <c r="AJ45" i="78"/>
  <c r="AQ45" i="78"/>
  <c r="AM45" i="78"/>
  <c r="AE45" i="78"/>
  <c r="AG45" i="78"/>
  <c r="AR45" i="78"/>
  <c r="AO45" i="78"/>
  <c r="AF45" i="78"/>
  <c r="AD45" i="78"/>
  <c r="AN45" i="78"/>
  <c r="AL45" i="78"/>
  <c r="AP45" i="78"/>
  <c r="AK45" i="78"/>
  <c r="AH45" i="78"/>
  <c r="AV44" i="78"/>
  <c r="AU44" i="78"/>
  <c r="AZ55" i="81"/>
  <c r="AZ53" i="81"/>
  <c r="Q60" i="81"/>
  <c r="AI52" i="78"/>
  <c r="AU21" i="78"/>
  <c r="AV21" i="78"/>
  <c r="AZ55" i="59"/>
  <c r="AZ53" i="59"/>
  <c r="Q60" i="59"/>
  <c r="AU18" i="78"/>
  <c r="AV18" i="78"/>
  <c r="AL18" i="78" s="1"/>
  <c r="AI45" i="78"/>
  <c r="AV45" i="78"/>
  <c r="AU45" i="78"/>
  <c r="Y16" i="87" l="1"/>
  <c r="K23" i="56"/>
  <c r="AC23" i="56" s="1"/>
  <c r="J23" i="56"/>
  <c r="W21" i="65"/>
  <c r="Z21" i="65"/>
  <c r="T28" i="59"/>
  <c r="W28" i="59"/>
  <c r="K34" i="71"/>
  <c r="T34" i="71" s="1"/>
  <c r="J34" i="71"/>
  <c r="K48" i="65"/>
  <c r="J48" i="65"/>
  <c r="AD48" i="65" s="1"/>
  <c r="AT36" i="71"/>
  <c r="AV36" i="71" s="1"/>
  <c r="AK36" i="71"/>
  <c r="AS36" i="71"/>
  <c r="AD36" i="71"/>
  <c r="AL36" i="71"/>
  <c r="AF36" i="71"/>
  <c r="AN36" i="71"/>
  <c r="AO36" i="71"/>
  <c r="AE36" i="71"/>
  <c r="AP36" i="71"/>
  <c r="AQ36" i="71"/>
  <c r="AG36" i="71"/>
  <c r="AR36" i="71"/>
  <c r="AM36" i="71"/>
  <c r="AJ36" i="71"/>
  <c r="AH36" i="71"/>
  <c r="AE55" i="71"/>
  <c r="AE56" i="71" s="1"/>
  <c r="K25" i="56"/>
  <c r="J25" i="56"/>
  <c r="AP25" i="56" s="1"/>
  <c r="AH55" i="71"/>
  <c r="AH56" i="71" s="1"/>
  <c r="AJ28" i="68"/>
  <c r="AG28" i="68"/>
  <c r="J28" i="81"/>
  <c r="K28" i="81"/>
  <c r="K38" i="71"/>
  <c r="J38" i="71"/>
  <c r="J28" i="59"/>
  <c r="AH28" i="59" s="1"/>
  <c r="AT31" i="71"/>
  <c r="AV31" i="71" s="1"/>
  <c r="AK31" i="71"/>
  <c r="AS31" i="71"/>
  <c r="AD31" i="71"/>
  <c r="AL31" i="71"/>
  <c r="AF31" i="71"/>
  <c r="AN31" i="71"/>
  <c r="AE31" i="71"/>
  <c r="AQ31" i="71"/>
  <c r="AH31" i="71"/>
  <c r="AG31" i="71"/>
  <c r="AR31" i="71"/>
  <c r="AJ31" i="71"/>
  <c r="AP31" i="71"/>
  <c r="AM31" i="71"/>
  <c r="AO31" i="71"/>
  <c r="AF55" i="71"/>
  <c r="AF56" i="71" s="1"/>
  <c r="AV43" i="65"/>
  <c r="Z37" i="47"/>
  <c r="AR43" i="65"/>
  <c r="Q22" i="47"/>
  <c r="AL51" i="56"/>
  <c r="AK40" i="65"/>
  <c r="AL40" i="65"/>
  <c r="AG38" i="62"/>
  <c r="Z30" i="62"/>
  <c r="K48" i="59"/>
  <c r="T48" i="59" s="1"/>
  <c r="K44" i="56"/>
  <c r="AC44" i="56" s="1"/>
  <c r="AF43" i="65"/>
  <c r="K33" i="65"/>
  <c r="T33" i="65" s="1"/>
  <c r="AD55" i="71"/>
  <c r="AD56" i="71" s="1"/>
  <c r="AU37" i="47"/>
  <c r="AD43" i="65"/>
  <c r="AU24" i="56"/>
  <c r="AJ44" i="56"/>
  <c r="Q17" i="81"/>
  <c r="AE51" i="56"/>
  <c r="K38" i="62"/>
  <c r="Z38" i="62" s="1"/>
  <c r="J56" i="71"/>
  <c r="I48" i="71"/>
  <c r="J48" i="71" s="1"/>
  <c r="I26" i="71"/>
  <c r="AT50" i="71"/>
  <c r="AV50" i="71" s="1"/>
  <c r="AK50" i="71"/>
  <c r="AS50" i="71"/>
  <c r="AD50" i="71"/>
  <c r="AL50" i="71"/>
  <c r="AF50" i="71"/>
  <c r="AN50" i="71"/>
  <c r="AH50" i="71"/>
  <c r="AJ50" i="71"/>
  <c r="AM50" i="71"/>
  <c r="AP50" i="71"/>
  <c r="AR50" i="71"/>
  <c r="AG50" i="71"/>
  <c r="AQ50" i="71"/>
  <c r="AE50" i="71"/>
  <c r="AO50" i="71"/>
  <c r="AC37" i="47"/>
  <c r="J40" i="62"/>
  <c r="AD40" i="62" s="1"/>
  <c r="AF52" i="62"/>
  <c r="K40" i="59"/>
  <c r="J45" i="59"/>
  <c r="AF45" i="59" s="1"/>
  <c r="AN43" i="65"/>
  <c r="AH40" i="65"/>
  <c r="AX46" i="71"/>
  <c r="K50" i="56"/>
  <c r="W50" i="56" s="1"/>
  <c r="AE45" i="56"/>
  <c r="AM44" i="81"/>
  <c r="U18" i="71"/>
  <c r="T10" i="72" s="1"/>
  <c r="J30" i="68"/>
  <c r="AS30" i="68" s="1"/>
  <c r="I47" i="71"/>
  <c r="J47" i="71" s="1"/>
  <c r="AX44" i="71"/>
  <c r="AX53" i="71" s="1"/>
  <c r="AX54" i="71" s="1"/>
  <c r="I35" i="71"/>
  <c r="K35" i="71" s="1"/>
  <c r="AW54" i="71"/>
  <c r="AW53" i="71" s="1"/>
  <c r="P60" i="71" s="1"/>
  <c r="AR24" i="62"/>
  <c r="J29" i="56"/>
  <c r="AK29" i="56" s="1"/>
  <c r="AS44" i="81"/>
  <c r="AK52" i="62"/>
  <c r="AR52" i="62"/>
  <c r="AS43" i="65"/>
  <c r="J37" i="65"/>
  <c r="AR37" i="65" s="1"/>
  <c r="AM40" i="65"/>
  <c r="K24" i="62"/>
  <c r="T24" i="62" s="1"/>
  <c r="AX45" i="71"/>
  <c r="AR38" i="62"/>
  <c r="AS45" i="56"/>
  <c r="K26" i="81"/>
  <c r="AC26" i="81" s="1"/>
  <c r="X2" i="71"/>
  <c r="AF44" i="81"/>
  <c r="J33" i="59"/>
  <c r="AE33" i="59" s="1"/>
  <c r="I45" i="71"/>
  <c r="I23" i="71"/>
  <c r="J23" i="71" s="1"/>
  <c r="B54" i="71"/>
  <c r="B53" i="71" s="1"/>
  <c r="AZ55" i="71" s="1"/>
  <c r="AZ53" i="71" s="1"/>
  <c r="Q60" i="71" s="1"/>
  <c r="AQ20" i="65"/>
  <c r="AN20" i="65"/>
  <c r="AL20" i="65"/>
  <c r="AJ20" i="65"/>
  <c r="W50" i="47"/>
  <c r="Q50" i="47"/>
  <c r="J41" i="59"/>
  <c r="AK41" i="59" s="1"/>
  <c r="K41" i="59"/>
  <c r="Q41" i="59" s="1"/>
  <c r="AV37" i="59"/>
  <c r="AQ37" i="59"/>
  <c r="AN37" i="59"/>
  <c r="AE37" i="59"/>
  <c r="AO37" i="59"/>
  <c r="AR39" i="62"/>
  <c r="AN39" i="62"/>
  <c r="AD39" i="62"/>
  <c r="J26" i="71"/>
  <c r="K26" i="71"/>
  <c r="T26" i="71" s="1"/>
  <c r="AG49" i="65"/>
  <c r="AK49" i="65"/>
  <c r="AD49" i="65"/>
  <c r="K47" i="71"/>
  <c r="BG53" i="71"/>
  <c r="BE53" i="71" s="1"/>
  <c r="S60" i="71" s="1"/>
  <c r="K25" i="71"/>
  <c r="T25" i="71" s="1"/>
  <c r="J25" i="71"/>
  <c r="AJ28" i="65"/>
  <c r="AP28" i="65"/>
  <c r="BD53" i="71"/>
  <c r="BB53" i="71" s="1"/>
  <c r="AC33" i="65"/>
  <c r="W33" i="65"/>
  <c r="K30" i="47"/>
  <c r="W30" i="47" s="1"/>
  <c r="J30" i="47"/>
  <c r="AD30" i="47" s="1"/>
  <c r="Z39" i="62"/>
  <c r="AD51" i="56"/>
  <c r="J27" i="65"/>
  <c r="K27" i="65"/>
  <c r="W27" i="65" s="1"/>
  <c r="K49" i="81"/>
  <c r="Z49" i="81" s="1"/>
  <c r="J49" i="81"/>
  <c r="AJ49" i="81" s="1"/>
  <c r="W33" i="56"/>
  <c r="AQ40" i="62"/>
  <c r="AF51" i="56"/>
  <c r="AN51" i="56"/>
  <c r="W30" i="81"/>
  <c r="Q30" i="81"/>
  <c r="J27" i="62"/>
  <c r="AJ27" i="62" s="1"/>
  <c r="K27" i="62"/>
  <c r="T27" i="62" s="1"/>
  <c r="I46" i="71"/>
  <c r="K46" i="71" s="1"/>
  <c r="U8" i="72"/>
  <c r="AJ30" i="81"/>
  <c r="AF30" i="81"/>
  <c r="AE30" i="81"/>
  <c r="AN27" i="81"/>
  <c r="AQ27" i="81"/>
  <c r="Q29" i="56"/>
  <c r="W29" i="56"/>
  <c r="K27" i="56"/>
  <c r="J27" i="56"/>
  <c r="AH29" i="59"/>
  <c r="AL29" i="59"/>
  <c r="J21" i="59"/>
  <c r="AE21" i="59" s="1"/>
  <c r="K21" i="59"/>
  <c r="Q21" i="59" s="1"/>
  <c r="K47" i="65"/>
  <c r="Z47" i="65" s="1"/>
  <c r="J47" i="65"/>
  <c r="I40" i="71"/>
  <c r="Q32" i="81"/>
  <c r="Z32" i="81"/>
  <c r="I20" i="71"/>
  <c r="AU25" i="56"/>
  <c r="AD34" i="47"/>
  <c r="AD52" i="81"/>
  <c r="K44" i="47"/>
  <c r="AN46" i="59"/>
  <c r="AH40" i="62"/>
  <c r="AS51" i="56"/>
  <c r="T21" i="56"/>
  <c r="Z21" i="56"/>
  <c r="AK23" i="59"/>
  <c r="AH28" i="68"/>
  <c r="AH50" i="56"/>
  <c r="AO30" i="81"/>
  <c r="AL27" i="81"/>
  <c r="AD22" i="62"/>
  <c r="AM32" i="65"/>
  <c r="AE32" i="65"/>
  <c r="I49" i="71"/>
  <c r="I33" i="71"/>
  <c r="I27" i="71"/>
  <c r="AJ26" i="81"/>
  <c r="AR26" i="81"/>
  <c r="AD26" i="81"/>
  <c r="AN35" i="62"/>
  <c r="AL35" i="62"/>
  <c r="AN51" i="65"/>
  <c r="AK51" i="65"/>
  <c r="J52" i="71"/>
  <c r="K52" i="71"/>
  <c r="AN34" i="47"/>
  <c r="AC38" i="65"/>
  <c r="W38" i="65"/>
  <c r="I41" i="71"/>
  <c r="J41" i="71" s="1"/>
  <c r="AC33" i="56"/>
  <c r="AO34" i="47"/>
  <c r="J39" i="47"/>
  <c r="AS39" i="47" s="1"/>
  <c r="AK40" i="62"/>
  <c r="Z51" i="81"/>
  <c r="Q48" i="59"/>
  <c r="AK45" i="59"/>
  <c r="J36" i="65"/>
  <c r="AD36" i="65" s="1"/>
  <c r="AP51" i="56"/>
  <c r="AK51" i="56"/>
  <c r="AC21" i="56"/>
  <c r="K36" i="71"/>
  <c r="Z29" i="56"/>
  <c r="K20" i="65"/>
  <c r="AC20" i="65" s="1"/>
  <c r="T29" i="56"/>
  <c r="AQ23" i="56"/>
  <c r="AL23" i="56"/>
  <c r="AE23" i="56"/>
  <c r="K50" i="71"/>
  <c r="AF31" i="47"/>
  <c r="AS31" i="47"/>
  <c r="AQ31" i="47"/>
  <c r="J49" i="56"/>
  <c r="AP49" i="56" s="1"/>
  <c r="K49" i="56"/>
  <c r="Z49" i="56" s="1"/>
  <c r="AQ48" i="59"/>
  <c r="AG48" i="59"/>
  <c r="AD48" i="59"/>
  <c r="I30" i="71"/>
  <c r="J46" i="81"/>
  <c r="AE46" i="81" s="1"/>
  <c r="K46" i="81"/>
  <c r="AC46" i="81" s="1"/>
  <c r="AK47" i="81"/>
  <c r="AS47" i="81"/>
  <c r="AJ47" i="81"/>
  <c r="J20" i="62"/>
  <c r="AL20" i="62" s="1"/>
  <c r="K20" i="62"/>
  <c r="AP40" i="62"/>
  <c r="AM51" i="56"/>
  <c r="K28" i="71"/>
  <c r="J28" i="71"/>
  <c r="AH46" i="59"/>
  <c r="AG30" i="56"/>
  <c r="AU48" i="65"/>
  <c r="AN48" i="65"/>
  <c r="AR46" i="59"/>
  <c r="AO17" i="81"/>
  <c r="AR17" i="81"/>
  <c r="AG34" i="47"/>
  <c r="J50" i="47"/>
  <c r="AF52" i="81"/>
  <c r="AK46" i="59"/>
  <c r="AO40" i="62"/>
  <c r="J32" i="56"/>
  <c r="AF50" i="56"/>
  <c r="Z30" i="81"/>
  <c r="AU27" i="81"/>
  <c r="AQ34" i="47"/>
  <c r="AL45" i="59"/>
  <c r="AL52" i="81"/>
  <c r="AO46" i="59"/>
  <c r="AE40" i="62"/>
  <c r="Q39" i="47"/>
  <c r="AH52" i="62"/>
  <c r="AS34" i="47"/>
  <c r="AF28" i="59"/>
  <c r="AH52" i="81"/>
  <c r="Q37" i="47"/>
  <c r="AL46" i="59"/>
  <c r="AQ34" i="81"/>
  <c r="AG51" i="56"/>
  <c r="AC29" i="56"/>
  <c r="AU23" i="56"/>
  <c r="AQ28" i="81"/>
  <c r="AN28" i="81"/>
  <c r="AE28" i="81"/>
  <c r="AN29" i="59"/>
  <c r="AH51" i="56"/>
  <c r="J51" i="59"/>
  <c r="AF51" i="59" s="1"/>
  <c r="J21" i="56"/>
  <c r="AP21" i="56" s="1"/>
  <c r="K24" i="59"/>
  <c r="Z24" i="59" s="1"/>
  <c r="J24" i="59"/>
  <c r="AP24" i="59" s="1"/>
  <c r="K46" i="62"/>
  <c r="W46" i="62" s="1"/>
  <c r="J46" i="62"/>
  <c r="AH46" i="62" s="1"/>
  <c r="I29" i="71"/>
  <c r="X18" i="71"/>
  <c r="T12" i="72" s="1"/>
  <c r="AY54" i="59"/>
  <c r="I51" i="71"/>
  <c r="J51" i="71" s="1"/>
  <c r="I39" i="71"/>
  <c r="J39" i="71" s="1"/>
  <c r="I32" i="71"/>
  <c r="J32" i="71" s="1"/>
  <c r="I43" i="71"/>
  <c r="I22" i="71"/>
  <c r="J22" i="71" s="1"/>
  <c r="AY54" i="78"/>
  <c r="Z9" i="86"/>
  <c r="P21" i="86"/>
  <c r="J21" i="86" s="1"/>
  <c r="P34" i="86"/>
  <c r="S9" i="86"/>
  <c r="K35" i="47"/>
  <c r="W35" i="47" s="1"/>
  <c r="J35" i="47"/>
  <c r="AK35" i="47" s="1"/>
  <c r="K29" i="47"/>
  <c r="J29" i="47"/>
  <c r="AH44" i="47"/>
  <c r="AN44" i="47"/>
  <c r="AM44" i="47"/>
  <c r="AQ44" i="47"/>
  <c r="AP44" i="47"/>
  <c r="AF44" i="47"/>
  <c r="W34" i="47"/>
  <c r="Q34" i="47"/>
  <c r="J47" i="47"/>
  <c r="K47" i="47"/>
  <c r="T47" i="47" s="1"/>
  <c r="J27" i="47"/>
  <c r="K27" i="47"/>
  <c r="Q27" i="47" s="1"/>
  <c r="K26" i="47"/>
  <c r="Z26" i="47" s="1"/>
  <c r="J26" i="47"/>
  <c r="AK26" i="47" s="1"/>
  <c r="J45" i="47"/>
  <c r="K45" i="47"/>
  <c r="AO39" i="47"/>
  <c r="Z50" i="47"/>
  <c r="T24" i="47"/>
  <c r="AD31" i="47"/>
  <c r="AJ34" i="47"/>
  <c r="AK34" i="47"/>
  <c r="AI37" i="47"/>
  <c r="AC22" i="47"/>
  <c r="AN21" i="47"/>
  <c r="J22" i="47"/>
  <c r="AK22" i="47" s="1"/>
  <c r="Z24" i="47"/>
  <c r="J24" i="47"/>
  <c r="AM24" i="47" s="1"/>
  <c r="AE31" i="47"/>
  <c r="T50" i="47"/>
  <c r="AE34" i="47"/>
  <c r="AM34" i="47"/>
  <c r="AN23" i="47"/>
  <c r="K23" i="47"/>
  <c r="Q23" i="47" s="1"/>
  <c r="AR21" i="47"/>
  <c r="T39" i="47"/>
  <c r="AC50" i="47"/>
  <c r="AH34" i="47"/>
  <c r="AF21" i="47"/>
  <c r="AO23" i="47"/>
  <c r="J51" i="47"/>
  <c r="AP51" i="47" s="1"/>
  <c r="AO21" i="47"/>
  <c r="Q24" i="47"/>
  <c r="W24" i="47"/>
  <c r="Z39" i="47"/>
  <c r="AJ21" i="47"/>
  <c r="AC39" i="47"/>
  <c r="AF34" i="47"/>
  <c r="J49" i="47"/>
  <c r="AM21" i="47"/>
  <c r="AS23" i="47"/>
  <c r="K31" i="47"/>
  <c r="Z31" i="47" s="1"/>
  <c r="K24" i="81"/>
  <c r="T24" i="81" s="1"/>
  <c r="J24" i="81"/>
  <c r="J35" i="81"/>
  <c r="AE35" i="81" s="1"/>
  <c r="K35" i="81"/>
  <c r="T49" i="81"/>
  <c r="AC49" i="81"/>
  <c r="Q49" i="81"/>
  <c r="W49" i="81"/>
  <c r="K25" i="81"/>
  <c r="J25" i="81"/>
  <c r="AO25" i="81" s="1"/>
  <c r="K23" i="81"/>
  <c r="J23" i="81"/>
  <c r="AH23" i="81" s="1"/>
  <c r="W20" i="81"/>
  <c r="Z20" i="81"/>
  <c r="AC20" i="81"/>
  <c r="T28" i="81"/>
  <c r="AL47" i="81"/>
  <c r="AC30" i="81"/>
  <c r="AE52" i="81"/>
  <c r="AO52" i="81"/>
  <c r="AF45" i="81"/>
  <c r="AN30" i="81"/>
  <c r="T30" i="81"/>
  <c r="AM47" i="81"/>
  <c r="J50" i="81"/>
  <c r="J33" i="81"/>
  <c r="AL33" i="81" s="1"/>
  <c r="Z34" i="81"/>
  <c r="AM34" i="81"/>
  <c r="AN52" i="81"/>
  <c r="AC22" i="81"/>
  <c r="W34" i="81"/>
  <c r="AQ52" i="81"/>
  <c r="AJ52" i="81"/>
  <c r="AC18" i="81"/>
  <c r="AN34" i="81"/>
  <c r="AL45" i="81"/>
  <c r="AQ30" i="81"/>
  <c r="T51" i="81"/>
  <c r="Q22" i="81"/>
  <c r="J22" i="81"/>
  <c r="AD34" i="81"/>
  <c r="AC34" i="81"/>
  <c r="AP34" i="81"/>
  <c r="AL30" i="81"/>
  <c r="AP52" i="81"/>
  <c r="AG30" i="81"/>
  <c r="AS27" i="81"/>
  <c r="K45" i="81"/>
  <c r="J51" i="81"/>
  <c r="AQ51" i="81" s="1"/>
  <c r="AQ17" i="81"/>
  <c r="K39" i="56"/>
  <c r="W39" i="56" s="1"/>
  <c r="J39" i="56"/>
  <c r="AM39" i="56" s="1"/>
  <c r="K52" i="56"/>
  <c r="J52" i="56"/>
  <c r="J31" i="56"/>
  <c r="K31" i="56"/>
  <c r="AV22" i="56"/>
  <c r="AJ22" i="56"/>
  <c r="AG22" i="56"/>
  <c r="AP22" i="56"/>
  <c r="AC25" i="56"/>
  <c r="Q25" i="56"/>
  <c r="T25" i="56"/>
  <c r="Z30" i="56"/>
  <c r="AC30" i="56"/>
  <c r="AC48" i="56"/>
  <c r="T48" i="56"/>
  <c r="Z18" i="56"/>
  <c r="T18" i="56"/>
  <c r="V8" i="57" s="1"/>
  <c r="U4" i="57"/>
  <c r="U20" i="57" s="1"/>
  <c r="Q18" i="56"/>
  <c r="V6" i="57" s="1"/>
  <c r="K37" i="56"/>
  <c r="J37" i="56"/>
  <c r="AF37" i="56" s="1"/>
  <c r="AL29" i="56"/>
  <c r="AP43" i="56"/>
  <c r="AG29" i="56"/>
  <c r="Q32" i="56"/>
  <c r="AP29" i="56"/>
  <c r="AD50" i="56"/>
  <c r="AP30" i="56"/>
  <c r="AG35" i="56"/>
  <c r="Z36" i="56"/>
  <c r="W47" i="56"/>
  <c r="AD25" i="56"/>
  <c r="AL44" i="56"/>
  <c r="AO43" i="56"/>
  <c r="AQ29" i="56"/>
  <c r="AE49" i="56"/>
  <c r="AJ32" i="56"/>
  <c r="AS23" i="56"/>
  <c r="AD23" i="56"/>
  <c r="AE29" i="56"/>
  <c r="AN50" i="56"/>
  <c r="AU30" i="56"/>
  <c r="J48" i="56"/>
  <c r="AO48" i="56" s="1"/>
  <c r="Q44" i="56"/>
  <c r="AJ35" i="56"/>
  <c r="Q36" i="56"/>
  <c r="AN25" i="56"/>
  <c r="AU43" i="56"/>
  <c r="AM29" i="56"/>
  <c r="AN30" i="56"/>
  <c r="AH25" i="56"/>
  <c r="T47" i="56"/>
  <c r="AL25" i="56"/>
  <c r="AQ43" i="56"/>
  <c r="AQ30" i="56"/>
  <c r="AO44" i="56"/>
  <c r="AU50" i="56"/>
  <c r="AE28" i="56"/>
  <c r="AN23" i="56"/>
  <c r="AH23" i="56"/>
  <c r="Q23" i="56"/>
  <c r="AR30" i="56"/>
  <c r="AM30" i="56"/>
  <c r="AG44" i="56"/>
  <c r="AP45" i="56"/>
  <c r="K51" i="56"/>
  <c r="AC51" i="56" s="1"/>
  <c r="AS30" i="56"/>
  <c r="AC47" i="56"/>
  <c r="AG28" i="56"/>
  <c r="AO29" i="56"/>
  <c r="J19" i="56"/>
  <c r="AK44" i="56"/>
  <c r="AP23" i="56"/>
  <c r="W23" i="56"/>
  <c r="AJ28" i="56"/>
  <c r="AO30" i="56"/>
  <c r="AD45" i="56"/>
  <c r="Q43" i="56"/>
  <c r="J36" i="56"/>
  <c r="U16" i="57"/>
  <c r="T16" i="57" s="1"/>
  <c r="AC45" i="59"/>
  <c r="W45" i="59"/>
  <c r="AS40" i="59"/>
  <c r="AH40" i="59"/>
  <c r="AQ40" i="59"/>
  <c r="AG40" i="59"/>
  <c r="AF40" i="59"/>
  <c r="AJ40" i="59"/>
  <c r="AR40" i="59"/>
  <c r="AP40" i="59"/>
  <c r="AL40" i="59"/>
  <c r="AM40" i="59"/>
  <c r="J25" i="59"/>
  <c r="AL25" i="59" s="1"/>
  <c r="K25" i="59"/>
  <c r="AC25" i="59" s="1"/>
  <c r="AG21" i="59"/>
  <c r="T50" i="59"/>
  <c r="Q50" i="59"/>
  <c r="K30" i="59"/>
  <c r="W30" i="59" s="1"/>
  <c r="J30" i="59"/>
  <c r="AJ30" i="59" s="1"/>
  <c r="J52" i="59"/>
  <c r="K52" i="59"/>
  <c r="T52" i="59" s="1"/>
  <c r="AJ35" i="59"/>
  <c r="AU45" i="59"/>
  <c r="J20" i="59"/>
  <c r="AP20" i="59" s="1"/>
  <c r="AJ23" i="59"/>
  <c r="AL35" i="59"/>
  <c r="AK33" i="59"/>
  <c r="AO24" i="59"/>
  <c r="K43" i="59"/>
  <c r="AE46" i="59"/>
  <c r="AM46" i="59"/>
  <c r="AP19" i="59"/>
  <c r="AR23" i="59"/>
  <c r="AG23" i="59"/>
  <c r="AC39" i="59"/>
  <c r="AM35" i="59"/>
  <c r="AN35" i="59"/>
  <c r="K47" i="59"/>
  <c r="Z47" i="59" s="1"/>
  <c r="K29" i="59"/>
  <c r="T40" i="59"/>
  <c r="AL28" i="59"/>
  <c r="AQ46" i="59"/>
  <c r="J50" i="59"/>
  <c r="AR35" i="59"/>
  <c r="K23" i="59"/>
  <c r="AD35" i="59"/>
  <c r="AG47" i="59"/>
  <c r="AM48" i="59"/>
  <c r="AD24" i="59"/>
  <c r="AK35" i="59"/>
  <c r="T39" i="59"/>
  <c r="AQ35" i="59"/>
  <c r="AE35" i="59"/>
  <c r="AH35" i="59"/>
  <c r="AV35" i="59"/>
  <c r="AE24" i="59"/>
  <c r="AE45" i="59"/>
  <c r="AP46" i="59"/>
  <c r="W40" i="59"/>
  <c r="J34" i="59"/>
  <c r="V16" i="87"/>
  <c r="M13" i="87" s="1"/>
  <c r="L13" i="87" s="1"/>
  <c r="Z20" i="59"/>
  <c r="AC20" i="59"/>
  <c r="W20" i="59"/>
  <c r="T20" i="59"/>
  <c r="Q20" i="59"/>
  <c r="AG47" i="62"/>
  <c r="AN47" i="62"/>
  <c r="AK47" i="62"/>
  <c r="AL47" i="62"/>
  <c r="AO47" i="62"/>
  <c r="AF47" i="62"/>
  <c r="AM47" i="62"/>
  <c r="AJ47" i="62"/>
  <c r="AP47" i="62"/>
  <c r="J36" i="62"/>
  <c r="AS36" i="62" s="1"/>
  <c r="K36" i="62"/>
  <c r="W36" i="62" s="1"/>
  <c r="J51" i="62"/>
  <c r="AH51" i="62" s="1"/>
  <c r="K51" i="62"/>
  <c r="W51" i="62" s="1"/>
  <c r="W40" i="62"/>
  <c r="Z40" i="62"/>
  <c r="Q40" i="62"/>
  <c r="T40" i="62"/>
  <c r="AC40" i="62"/>
  <c r="AN20" i="62"/>
  <c r="AM39" i="62"/>
  <c r="W39" i="62"/>
  <c r="AR40" i="62"/>
  <c r="AG40" i="62"/>
  <c r="AG49" i="62"/>
  <c r="AG24" i="62"/>
  <c r="K47" i="62"/>
  <c r="AJ35" i="62"/>
  <c r="AS26" i="62"/>
  <c r="W31" i="62"/>
  <c r="AH22" i="62"/>
  <c r="Q30" i="62"/>
  <c r="Q27" i="62"/>
  <c r="V14" i="87"/>
  <c r="M12" i="87" s="1"/>
  <c r="L12" i="87" s="1"/>
  <c r="AN52" i="62"/>
  <c r="AQ39" i="62"/>
  <c r="AC39" i="62"/>
  <c r="AM40" i="62"/>
  <c r="AE49" i="62"/>
  <c r="AP24" i="62"/>
  <c r="AR35" i="62"/>
  <c r="AO35" i="62"/>
  <c r="AH38" i="62"/>
  <c r="AJ22" i="62"/>
  <c r="AP35" i="62"/>
  <c r="AH35" i="62"/>
  <c r="AK22" i="62"/>
  <c r="K26" i="62"/>
  <c r="Z26" i="62" s="1"/>
  <c r="AC52" i="62"/>
  <c r="AP39" i="62"/>
  <c r="AS39" i="62"/>
  <c r="AN40" i="62"/>
  <c r="AL40" i="62"/>
  <c r="K44" i="62"/>
  <c r="AD49" i="62"/>
  <c r="W24" i="62"/>
  <c r="AL24" i="62"/>
  <c r="AV35" i="62"/>
  <c r="K35" i="62"/>
  <c r="AL22" i="62"/>
  <c r="J33" i="62"/>
  <c r="AF26" i="62"/>
  <c r="AQ22" i="62"/>
  <c r="AL39" i="62"/>
  <c r="AG22" i="62"/>
  <c r="AF39" i="62"/>
  <c r="AF40" i="62"/>
  <c r="AJ40" i="62"/>
  <c r="AJ24" i="62"/>
  <c r="T52" i="62"/>
  <c r="AU39" i="62"/>
  <c r="AS40" i="62"/>
  <c r="Q24" i="62"/>
  <c r="AE24" i="62"/>
  <c r="AM22" i="62"/>
  <c r="K18" i="65"/>
  <c r="Q18" i="65" s="1"/>
  <c r="J18" i="65"/>
  <c r="AN18" i="65" s="1"/>
  <c r="AH33" i="65"/>
  <c r="AN33" i="65"/>
  <c r="AD33" i="65"/>
  <c r="AG33" i="65"/>
  <c r="AQ33" i="65"/>
  <c r="AF33" i="65"/>
  <c r="AS33" i="65"/>
  <c r="AE33" i="65"/>
  <c r="AO33" i="65"/>
  <c r="AK33" i="65"/>
  <c r="AJ33" i="65"/>
  <c r="AP33" i="65"/>
  <c r="AR33" i="65"/>
  <c r="AL33" i="65"/>
  <c r="AM33" i="65"/>
  <c r="K24" i="65"/>
  <c r="J24" i="65"/>
  <c r="J22" i="65"/>
  <c r="AR22" i="65" s="1"/>
  <c r="K22" i="65"/>
  <c r="K35" i="65"/>
  <c r="Q35" i="65" s="1"/>
  <c r="J35" i="65"/>
  <c r="AG35" i="65" s="1"/>
  <c r="J25" i="65"/>
  <c r="AE25" i="65" s="1"/>
  <c r="K25" i="65"/>
  <c r="AM41" i="65"/>
  <c r="AK41" i="65"/>
  <c r="AG41" i="65"/>
  <c r="AF41" i="65"/>
  <c r="AE30" i="65"/>
  <c r="AR30" i="65"/>
  <c r="AO23" i="65"/>
  <c r="AG23" i="65"/>
  <c r="AN23" i="65"/>
  <c r="AS23" i="65"/>
  <c r="AL23" i="65"/>
  <c r="AU47" i="65"/>
  <c r="AG28" i="65"/>
  <c r="AF48" i="65"/>
  <c r="AE28" i="65"/>
  <c r="T52" i="65"/>
  <c r="T27" i="65"/>
  <c r="AK43" i="65"/>
  <c r="AG40" i="65"/>
  <c r="AP48" i="65"/>
  <c r="AU28" i="65"/>
  <c r="J38" i="65"/>
  <c r="AL38" i="65" s="1"/>
  <c r="J52" i="65"/>
  <c r="AN52" i="65" s="1"/>
  <c r="Z27" i="65"/>
  <c r="AF28" i="65"/>
  <c r="AR48" i="65"/>
  <c r="AE40" i="65"/>
  <c r="AK48" i="65"/>
  <c r="Z33" i="65"/>
  <c r="AR28" i="65"/>
  <c r="AO43" i="65"/>
  <c r="AQ47" i="65"/>
  <c r="J44" i="65"/>
  <c r="AJ40" i="65"/>
  <c r="AQ40" i="65"/>
  <c r="Q33" i="65"/>
  <c r="AN28" i="65"/>
  <c r="K41" i="65"/>
  <c r="Q21" i="65"/>
  <c r="AS28" i="65"/>
  <c r="K28" i="65"/>
  <c r="AR40" i="65"/>
  <c r="Q20" i="65"/>
  <c r="AK28" i="65"/>
  <c r="K40" i="65"/>
  <c r="J41" i="68"/>
  <c r="AO41" i="68" s="1"/>
  <c r="K41" i="68"/>
  <c r="AQ48" i="68"/>
  <c r="K18" i="68"/>
  <c r="W18" i="68" s="1"/>
  <c r="AF18" i="68" s="1"/>
  <c r="AM18" i="68"/>
  <c r="AK27" i="68"/>
  <c r="U16" i="54"/>
  <c r="T16" i="54" s="1"/>
  <c r="AM49" i="47"/>
  <c r="AL49" i="47"/>
  <c r="W33" i="47"/>
  <c r="Q33" i="47"/>
  <c r="J25" i="47"/>
  <c r="K25" i="47"/>
  <c r="J36" i="47"/>
  <c r="K36" i="47"/>
  <c r="K42" i="47"/>
  <c r="J42" i="47"/>
  <c r="K19" i="47"/>
  <c r="J19" i="47"/>
  <c r="J17" i="47"/>
  <c r="K17" i="47"/>
  <c r="T44" i="47"/>
  <c r="AL24" i="47"/>
  <c r="K32" i="47"/>
  <c r="J32" i="47"/>
  <c r="AC31" i="47"/>
  <c r="T31" i="47"/>
  <c r="AY54" i="47"/>
  <c r="J28" i="47"/>
  <c r="K28" i="47"/>
  <c r="AS44" i="47"/>
  <c r="AJ44" i="47"/>
  <c r="AR44" i="47"/>
  <c r="AG44" i="47"/>
  <c r="AE44" i="47"/>
  <c r="AD44" i="47"/>
  <c r="AK44" i="47"/>
  <c r="AO44" i="47"/>
  <c r="AC23" i="47"/>
  <c r="AU52" i="47"/>
  <c r="T33" i="47"/>
  <c r="AF29" i="47"/>
  <c r="AE33" i="47"/>
  <c r="AH33" i="47"/>
  <c r="AK33" i="47"/>
  <c r="AF33" i="47"/>
  <c r="AN33" i="47"/>
  <c r="AP33" i="47"/>
  <c r="AJ33" i="47"/>
  <c r="AD33" i="47"/>
  <c r="AL33" i="47"/>
  <c r="AO33" i="47"/>
  <c r="AQ33" i="47"/>
  <c r="AM33" i="47"/>
  <c r="J38" i="47"/>
  <c r="K38" i="47"/>
  <c r="K20" i="47"/>
  <c r="J20" i="47"/>
  <c r="Z34" i="47"/>
  <c r="AC34" i="47"/>
  <c r="T34" i="47"/>
  <c r="AR33" i="47"/>
  <c r="AM39" i="47"/>
  <c r="AL44" i="47"/>
  <c r="AC33" i="47"/>
  <c r="AG33" i="47"/>
  <c r="W49" i="47"/>
  <c r="Z49" i="47"/>
  <c r="AC49" i="47"/>
  <c r="T49" i="47"/>
  <c r="K18" i="47"/>
  <c r="J18" i="47"/>
  <c r="AN52" i="47"/>
  <c r="AE52" i="47"/>
  <c r="AM52" i="47"/>
  <c r="AG52" i="47"/>
  <c r="Q35" i="47"/>
  <c r="AS35" i="47"/>
  <c r="AH35" i="47"/>
  <c r="Z30" i="47"/>
  <c r="J41" i="47"/>
  <c r="K41" i="47"/>
  <c r="AR23" i="47"/>
  <c r="AK23" i="47"/>
  <c r="AE23" i="47"/>
  <c r="AJ23" i="47"/>
  <c r="AP23" i="47"/>
  <c r="AD23" i="47"/>
  <c r="AQ23" i="47"/>
  <c r="AH23" i="47"/>
  <c r="AF23" i="47"/>
  <c r="AL23" i="47"/>
  <c r="AG23" i="47"/>
  <c r="AG26" i="47"/>
  <c r="Q52" i="47"/>
  <c r="AC52" i="47"/>
  <c r="AF51" i="47"/>
  <c r="AS51" i="47"/>
  <c r="AD27" i="47"/>
  <c r="AM27" i="47"/>
  <c r="AR27" i="47"/>
  <c r="AL27" i="47"/>
  <c r="K48" i="47"/>
  <c r="J48" i="47"/>
  <c r="AJ22" i="47"/>
  <c r="AM22" i="47"/>
  <c r="AR22" i="47"/>
  <c r="AL22" i="47"/>
  <c r="AN51" i="47"/>
  <c r="AG30" i="47"/>
  <c r="Q51" i="47"/>
  <c r="Z51" i="47"/>
  <c r="T51" i="47"/>
  <c r="W51" i="47"/>
  <c r="K40" i="47"/>
  <c r="J40" i="47"/>
  <c r="AM31" i="47"/>
  <c r="AN31" i="47"/>
  <c r="AK31" i="47"/>
  <c r="AJ31" i="47"/>
  <c r="AR31" i="47"/>
  <c r="AO31" i="47"/>
  <c r="AL31" i="47"/>
  <c r="AG31" i="47"/>
  <c r="AP31" i="47"/>
  <c r="J43" i="47"/>
  <c r="K43" i="47"/>
  <c r="K46" i="47"/>
  <c r="J46" i="47"/>
  <c r="K21" i="47"/>
  <c r="AH21" i="47"/>
  <c r="AG21" i="47"/>
  <c r="AL21" i="47"/>
  <c r="AK21" i="47"/>
  <c r="AE21" i="47"/>
  <c r="AY54" i="81"/>
  <c r="K19" i="81"/>
  <c r="Y41" i="85" s="1"/>
  <c r="Z41" i="85" s="1"/>
  <c r="U16" i="82"/>
  <c r="T16" i="82" s="1"/>
  <c r="AQ23" i="81"/>
  <c r="AG23" i="81"/>
  <c r="AE23" i="81"/>
  <c r="AJ33" i="81"/>
  <c r="J40" i="81"/>
  <c r="K40" i="81"/>
  <c r="AC23" i="81"/>
  <c r="AM50" i="81"/>
  <c r="AC45" i="81"/>
  <c r="AC50" i="81"/>
  <c r="T50" i="81"/>
  <c r="Q50" i="81"/>
  <c r="AG43" i="81"/>
  <c r="AJ43" i="81"/>
  <c r="AR43" i="81"/>
  <c r="AS43" i="81"/>
  <c r="AP43" i="81"/>
  <c r="AK43" i="81"/>
  <c r="AQ43" i="81"/>
  <c r="AF43" i="81"/>
  <c r="AE43" i="81"/>
  <c r="AN43" i="81"/>
  <c r="AH43" i="81"/>
  <c r="AL43" i="81"/>
  <c r="AO43" i="81"/>
  <c r="W50" i="81"/>
  <c r="K43" i="81"/>
  <c r="O16" i="86"/>
  <c r="P16" i="86" s="1"/>
  <c r="Y16" i="85"/>
  <c r="Z16" i="85" s="1"/>
  <c r="W21" i="81"/>
  <c r="AC21" i="81"/>
  <c r="Z21" i="81"/>
  <c r="AO50" i="81"/>
  <c r="AJ50" i="81"/>
  <c r="AG50" i="81"/>
  <c r="J42" i="81"/>
  <c r="K42" i="81"/>
  <c r="Z25" i="81"/>
  <c r="T25" i="81"/>
  <c r="W25" i="81"/>
  <c r="AC25" i="81"/>
  <c r="Q25" i="81"/>
  <c r="J37" i="81"/>
  <c r="K37" i="81"/>
  <c r="W45" i="81"/>
  <c r="I10" i="82"/>
  <c r="V12" i="82"/>
  <c r="J41" i="81"/>
  <c r="K41" i="81"/>
  <c r="AM43" i="81"/>
  <c r="AS23" i="81"/>
  <c r="T52" i="81"/>
  <c r="Z52" i="81"/>
  <c r="W52" i="81"/>
  <c r="Q52" i="81"/>
  <c r="AC52" i="81"/>
  <c r="J38" i="81"/>
  <c r="K38" i="81"/>
  <c r="AS35" i="81"/>
  <c r="AD35" i="81"/>
  <c r="AK35" i="81"/>
  <c r="AR35" i="81"/>
  <c r="Z33" i="81"/>
  <c r="W33" i="81"/>
  <c r="T33" i="81"/>
  <c r="Q33" i="81"/>
  <c r="AC33" i="81"/>
  <c r="K31" i="81"/>
  <c r="J31" i="81"/>
  <c r="Q20" i="81"/>
  <c r="T20" i="81"/>
  <c r="K36" i="81"/>
  <c r="J36" i="81"/>
  <c r="K29" i="81"/>
  <c r="J29" i="81"/>
  <c r="M41" i="86"/>
  <c r="L41" i="86" s="1"/>
  <c r="K41" i="86" s="1"/>
  <c r="M28" i="86"/>
  <c r="L28" i="86" s="1"/>
  <c r="K28" i="86" s="1"/>
  <c r="W28" i="85"/>
  <c r="V28" i="85" s="1"/>
  <c r="T28" i="85" s="1"/>
  <c r="M16" i="86"/>
  <c r="L16" i="86" s="1"/>
  <c r="K16" i="86" s="1"/>
  <c r="W28" i="86"/>
  <c r="V28" i="86" s="1"/>
  <c r="T28" i="86" s="1"/>
  <c r="V20" i="84"/>
  <c r="M15" i="84" s="1"/>
  <c r="L15" i="84" s="1"/>
  <c r="AS19" i="81"/>
  <c r="AR19" i="81"/>
  <c r="AE19" i="81"/>
  <c r="W41" i="85"/>
  <c r="V41" i="85" s="1"/>
  <c r="T41" i="85" s="1"/>
  <c r="AJ19" i="81"/>
  <c r="AN19" i="81"/>
  <c r="M28" i="85"/>
  <c r="L28" i="85" s="1"/>
  <c r="K28" i="85" s="1"/>
  <c r="AD19" i="81"/>
  <c r="W41" i="86"/>
  <c r="V41" i="86" s="1"/>
  <c r="T41" i="86" s="1"/>
  <c r="M16" i="85"/>
  <c r="L16" i="85" s="1"/>
  <c r="K16" i="85" s="1"/>
  <c r="T18" i="81"/>
  <c r="W18" i="81"/>
  <c r="U4" i="82"/>
  <c r="AO20" i="81"/>
  <c r="AN20" i="81"/>
  <c r="AD20" i="81"/>
  <c r="AP20" i="81"/>
  <c r="AR20" i="81"/>
  <c r="AG20" i="81"/>
  <c r="AS20" i="81"/>
  <c r="AF20" i="81"/>
  <c r="AH20" i="81"/>
  <c r="AK20" i="81"/>
  <c r="AM20" i="81"/>
  <c r="AE20" i="81"/>
  <c r="Q18" i="81"/>
  <c r="AR34" i="81"/>
  <c r="AH34" i="81"/>
  <c r="AL34" i="81"/>
  <c r="AK34" i="81"/>
  <c r="AS34" i="81"/>
  <c r="AE34" i="81"/>
  <c r="AQ19" i="81"/>
  <c r="W46" i="81"/>
  <c r="T46" i="81"/>
  <c r="Q46" i="81"/>
  <c r="AQ45" i="81"/>
  <c r="AR45" i="81"/>
  <c r="AE45" i="81"/>
  <c r="AM45" i="81"/>
  <c r="AH45" i="81"/>
  <c r="AJ45" i="81"/>
  <c r="AG45" i="81"/>
  <c r="AO45" i="81"/>
  <c r="AK45" i="81"/>
  <c r="Q48" i="81"/>
  <c r="Z48" i="81"/>
  <c r="W48" i="81"/>
  <c r="AN44" i="81"/>
  <c r="AR44" i="81"/>
  <c r="AE44" i="81"/>
  <c r="AD44" i="81"/>
  <c r="AG44" i="81"/>
  <c r="AO44" i="81"/>
  <c r="AH44" i="81"/>
  <c r="AJ44" i="81"/>
  <c r="W16" i="86"/>
  <c r="V16" i="86" s="1"/>
  <c r="T16" i="86" s="1"/>
  <c r="V20" i="87"/>
  <c r="M15" i="87" s="1"/>
  <c r="L15" i="87" s="1"/>
  <c r="AF34" i="81"/>
  <c r="AH19" i="81"/>
  <c r="AV26" i="81"/>
  <c r="AU26" i="81"/>
  <c r="AL20" i="81"/>
  <c r="AL44" i="81"/>
  <c r="T44" i="81"/>
  <c r="Q44" i="81"/>
  <c r="Z44" i="81"/>
  <c r="Z26" i="81"/>
  <c r="T26" i="81"/>
  <c r="W26" i="81"/>
  <c r="W32" i="81"/>
  <c r="AC32" i="81"/>
  <c r="T32" i="81"/>
  <c r="AO34" i="81"/>
  <c r="AG19" i="81"/>
  <c r="AF19" i="81"/>
  <c r="Q28" i="81"/>
  <c r="AC28" i="81"/>
  <c r="AO19" i="81"/>
  <c r="AK17" i="81"/>
  <c r="AS17" i="81"/>
  <c r="AD17" i="81"/>
  <c r="AP17" i="81"/>
  <c r="AM17" i="81"/>
  <c r="AH17" i="81"/>
  <c r="AE17" i="81"/>
  <c r="AN17" i="81"/>
  <c r="AS45" i="81"/>
  <c r="Z46" i="81"/>
  <c r="AN49" i="81"/>
  <c r="K39" i="81"/>
  <c r="J39" i="81"/>
  <c r="AJ34" i="81"/>
  <c r="J21" i="81"/>
  <c r="M41" i="85"/>
  <c r="L41" i="85" s="1"/>
  <c r="K41" i="85" s="1"/>
  <c r="AQ20" i="81"/>
  <c r="AN45" i="81"/>
  <c r="AC27" i="81"/>
  <c r="T27" i="81"/>
  <c r="Q27" i="81"/>
  <c r="Z27" i="81"/>
  <c r="AE47" i="81"/>
  <c r="AD47" i="81"/>
  <c r="AQ47" i="81"/>
  <c r="AN47" i="81"/>
  <c r="AR47" i="81"/>
  <c r="AF47" i="81"/>
  <c r="AG47" i="81"/>
  <c r="AH47" i="81"/>
  <c r="AP47" i="81"/>
  <c r="AO47" i="81"/>
  <c r="J32" i="81"/>
  <c r="AQ44" i="81"/>
  <c r="T47" i="81"/>
  <c r="Q47" i="81"/>
  <c r="Z47" i="81"/>
  <c r="AN26" i="81"/>
  <c r="AE26" i="81"/>
  <c r="AG26" i="81"/>
  <c r="AL26" i="81"/>
  <c r="AQ26" i="81"/>
  <c r="AK26" i="81"/>
  <c r="AP26" i="81"/>
  <c r="AS26" i="81"/>
  <c r="AH26" i="81"/>
  <c r="Z17" i="81"/>
  <c r="AG17" i="81" s="1"/>
  <c r="W17" i="81"/>
  <c r="AF17" i="81" s="1"/>
  <c r="AR25" i="81"/>
  <c r="AK25" i="81"/>
  <c r="AE25" i="81"/>
  <c r="AD51" i="81"/>
  <c r="AE49" i="81"/>
  <c r="AD49" i="81"/>
  <c r="J18" i="81"/>
  <c r="W16" i="85"/>
  <c r="V16" i="85" s="1"/>
  <c r="T16" i="85" s="1"/>
  <c r="AP45" i="81"/>
  <c r="AM27" i="81"/>
  <c r="AH27" i="81"/>
  <c r="AF27" i="81"/>
  <c r="AK27" i="81"/>
  <c r="AP27" i="81"/>
  <c r="AR27" i="81"/>
  <c r="AJ27" i="81"/>
  <c r="AO27" i="81"/>
  <c r="AG27" i="81"/>
  <c r="AD27" i="81"/>
  <c r="J48" i="81"/>
  <c r="AK44" i="81"/>
  <c r="AR49" i="81"/>
  <c r="AK30" i="81"/>
  <c r="AH22" i="81"/>
  <c r="AF22" i="81"/>
  <c r="T22" i="81"/>
  <c r="Z22" i="81"/>
  <c r="AO28" i="81"/>
  <c r="AM28" i="81"/>
  <c r="AG28" i="81"/>
  <c r="AM30" i="81"/>
  <c r="W51" i="81"/>
  <c r="Q51" i="81"/>
  <c r="AD30" i="81"/>
  <c r="AP30" i="81"/>
  <c r="AR30" i="81"/>
  <c r="AS30" i="81"/>
  <c r="AH30" i="81"/>
  <c r="O27" i="85"/>
  <c r="P27" i="85" s="1"/>
  <c r="O27" i="86"/>
  <c r="P27" i="86" s="1"/>
  <c r="Y15" i="85"/>
  <c r="Z15" i="85" s="1"/>
  <c r="W19" i="56"/>
  <c r="Z19" i="56"/>
  <c r="Y40" i="85"/>
  <c r="Z40" i="85" s="1"/>
  <c r="O40" i="86"/>
  <c r="P40" i="86" s="1"/>
  <c r="M40" i="85"/>
  <c r="L40" i="85" s="1"/>
  <c r="K40" i="85" s="1"/>
  <c r="AF19" i="56"/>
  <c r="AO19" i="56"/>
  <c r="AH19" i="56"/>
  <c r="M15" i="85"/>
  <c r="L15" i="85" s="1"/>
  <c r="K15" i="85" s="1"/>
  <c r="M40" i="86"/>
  <c r="L40" i="86" s="1"/>
  <c r="K40" i="86" s="1"/>
  <c r="AG19" i="56"/>
  <c r="AE19" i="56"/>
  <c r="V18" i="87"/>
  <c r="M14" i="87" s="1"/>
  <c r="L14" i="87" s="1"/>
  <c r="W15" i="86"/>
  <c r="V15" i="86" s="1"/>
  <c r="T15" i="86" s="1"/>
  <c r="W40" i="86"/>
  <c r="V40" i="86" s="1"/>
  <c r="T40" i="86" s="1"/>
  <c r="W15" i="85"/>
  <c r="V15" i="85" s="1"/>
  <c r="T15" i="85" s="1"/>
  <c r="AN19" i="56"/>
  <c r="M27" i="85"/>
  <c r="L27" i="85" s="1"/>
  <c r="K27" i="85" s="1"/>
  <c r="W27" i="85"/>
  <c r="V27" i="85" s="1"/>
  <c r="T27" i="85" s="1"/>
  <c r="W27" i="86"/>
  <c r="V27" i="86" s="1"/>
  <c r="T27" i="86" s="1"/>
  <c r="AD19" i="56"/>
  <c r="AS19" i="56"/>
  <c r="V18" i="84"/>
  <c r="M14" i="84" s="1"/>
  <c r="L14" i="84" s="1"/>
  <c r="AQ19" i="56"/>
  <c r="Z24" i="56"/>
  <c r="AC24" i="56"/>
  <c r="W24" i="56"/>
  <c r="J34" i="56"/>
  <c r="K34" i="56"/>
  <c r="Q50" i="56"/>
  <c r="J17" i="56"/>
  <c r="K17" i="56"/>
  <c r="Q52" i="56"/>
  <c r="W52" i="56"/>
  <c r="Z52" i="56"/>
  <c r="AC52" i="56"/>
  <c r="T52" i="56"/>
  <c r="T24" i="56"/>
  <c r="AJ24" i="56"/>
  <c r="AE24" i="56"/>
  <c r="AL24" i="56"/>
  <c r="AN24" i="56"/>
  <c r="AP24" i="56"/>
  <c r="AK24" i="56"/>
  <c r="AD24" i="56"/>
  <c r="AS24" i="56"/>
  <c r="AG24" i="56"/>
  <c r="AQ24" i="56"/>
  <c r="AO24" i="56"/>
  <c r="AF24" i="56"/>
  <c r="AH24" i="56"/>
  <c r="AR24" i="56"/>
  <c r="Q24" i="56"/>
  <c r="K41" i="56"/>
  <c r="J41" i="56"/>
  <c r="K40" i="56"/>
  <c r="J40" i="56"/>
  <c r="Z39" i="56"/>
  <c r="Q39" i="56"/>
  <c r="AM31" i="56"/>
  <c r="AK31" i="56"/>
  <c r="AN31" i="56"/>
  <c r="AO39" i="56"/>
  <c r="AK22" i="56"/>
  <c r="AK28" i="56"/>
  <c r="Z32" i="56"/>
  <c r="T32" i="56"/>
  <c r="AO22" i="56"/>
  <c r="AS35" i="56"/>
  <c r="K38" i="56"/>
  <c r="J38" i="56"/>
  <c r="J26" i="56"/>
  <c r="K26" i="56"/>
  <c r="Q47" i="56"/>
  <c r="Z33" i="56"/>
  <c r="J47" i="56"/>
  <c r="AQ32" i="56"/>
  <c r="AP35" i="56"/>
  <c r="K45" i="56"/>
  <c r="AK43" i="56"/>
  <c r="AD43" i="56"/>
  <c r="AM43" i="56"/>
  <c r="AH43" i="56"/>
  <c r="AE43" i="56"/>
  <c r="AJ43" i="56"/>
  <c r="AN43" i="56"/>
  <c r="AS43" i="56"/>
  <c r="AL43" i="56"/>
  <c r="AM50" i="56"/>
  <c r="AL50" i="56"/>
  <c r="AK50" i="56"/>
  <c r="AS50" i="56"/>
  <c r="AQ50" i="56"/>
  <c r="AG50" i="56"/>
  <c r="AO50" i="56"/>
  <c r="AR50" i="56"/>
  <c r="AP50" i="56"/>
  <c r="AE50" i="56"/>
  <c r="J42" i="56"/>
  <c r="T30" i="56"/>
  <c r="W30" i="56"/>
  <c r="Q30" i="56"/>
  <c r="T44" i="56"/>
  <c r="W44" i="56"/>
  <c r="AO28" i="56"/>
  <c r="AP28" i="56"/>
  <c r="AN28" i="56"/>
  <c r="AL28" i="56"/>
  <c r="AD28" i="56"/>
  <c r="AR28" i="56"/>
  <c r="AM28" i="56"/>
  <c r="AQ28" i="56"/>
  <c r="AF28" i="56"/>
  <c r="AS28" i="56"/>
  <c r="AS25" i="56"/>
  <c r="AK25" i="56"/>
  <c r="Z48" i="56"/>
  <c r="Q48" i="56"/>
  <c r="W48" i="56"/>
  <c r="AS36" i="56"/>
  <c r="AE36" i="56"/>
  <c r="Z25" i="56"/>
  <c r="G10" i="57"/>
  <c r="T33" i="56"/>
  <c r="AR25" i="56"/>
  <c r="AQ25" i="56"/>
  <c r="AC18" i="56"/>
  <c r="AV43" i="56"/>
  <c r="J33" i="56"/>
  <c r="K22" i="56"/>
  <c r="K28" i="56"/>
  <c r="AN27" i="56"/>
  <c r="K35" i="56"/>
  <c r="AL49" i="56"/>
  <c r="AN49" i="56"/>
  <c r="AF49" i="56"/>
  <c r="AQ44" i="56"/>
  <c r="AE44" i="56"/>
  <c r="AR44" i="56"/>
  <c r="AP44" i="56"/>
  <c r="AD44" i="56"/>
  <c r="AN44" i="56"/>
  <c r="AS44" i="56"/>
  <c r="AH44" i="56"/>
  <c r="Y15" i="86"/>
  <c r="Z15" i="86" s="1"/>
  <c r="Q19" i="56"/>
  <c r="O40" i="85"/>
  <c r="P40" i="85" s="1"/>
  <c r="T19" i="56"/>
  <c r="X18" i="87"/>
  <c r="Y18" i="87" s="1"/>
  <c r="Y40" i="86"/>
  <c r="Z40" i="86" s="1"/>
  <c r="O15" i="86"/>
  <c r="P15" i="86" s="1"/>
  <c r="AC19" i="56"/>
  <c r="X18" i="84"/>
  <c r="Y18" i="84" s="1"/>
  <c r="Y27" i="86"/>
  <c r="Z27" i="86" s="1"/>
  <c r="O15" i="85"/>
  <c r="P15" i="85" s="1"/>
  <c r="Y27" i="85"/>
  <c r="Z27" i="85" s="1"/>
  <c r="AY54" i="56"/>
  <c r="W42" i="56"/>
  <c r="Q42" i="56"/>
  <c r="T42" i="56"/>
  <c r="AH35" i="56"/>
  <c r="AR35" i="56"/>
  <c r="AL35" i="56"/>
  <c r="AK35" i="56"/>
  <c r="AQ35" i="56"/>
  <c r="AN35" i="56"/>
  <c r="AF35" i="56"/>
  <c r="AD35" i="56"/>
  <c r="AM35" i="56"/>
  <c r="AD22" i="56"/>
  <c r="AH22" i="56"/>
  <c r="AM22" i="56"/>
  <c r="AE22" i="56"/>
  <c r="AN22" i="56"/>
  <c r="AF22" i="56"/>
  <c r="AR22" i="56"/>
  <c r="AL22" i="56"/>
  <c r="AS22" i="56"/>
  <c r="AQ22" i="56"/>
  <c r="AC31" i="56"/>
  <c r="W25" i="56"/>
  <c r="W18" i="56"/>
  <c r="J18" i="56"/>
  <c r="AC32" i="56"/>
  <c r="Z42" i="56"/>
  <c r="AF29" i="56"/>
  <c r="AN29" i="56"/>
  <c r="AS29" i="56"/>
  <c r="AH29" i="56"/>
  <c r="AR29" i="56"/>
  <c r="AD29" i="56"/>
  <c r="AJ29" i="56"/>
  <c r="AO35" i="56"/>
  <c r="Z44" i="56"/>
  <c r="J46" i="56"/>
  <c r="K46" i="56"/>
  <c r="AH45" i="56"/>
  <c r="AG45" i="56"/>
  <c r="AQ45" i="56"/>
  <c r="AK45" i="56"/>
  <c r="AN45" i="56"/>
  <c r="AL45" i="56"/>
  <c r="AO45" i="56"/>
  <c r="AJ45" i="56"/>
  <c r="AF45" i="56"/>
  <c r="AH21" i="56"/>
  <c r="AR21" i="56"/>
  <c r="AJ21" i="56"/>
  <c r="AK21" i="56"/>
  <c r="AM21" i="56"/>
  <c r="AE21" i="56"/>
  <c r="AS21" i="56"/>
  <c r="AO21" i="56"/>
  <c r="AN21" i="56"/>
  <c r="AQ21" i="56"/>
  <c r="AD30" i="56"/>
  <c r="AJ30" i="56"/>
  <c r="AH30" i="56"/>
  <c r="AE30" i="56"/>
  <c r="AF30" i="56"/>
  <c r="AK30" i="56"/>
  <c r="Z43" i="56"/>
  <c r="Z27" i="56"/>
  <c r="T27" i="56"/>
  <c r="AR37" i="56"/>
  <c r="AO37" i="56"/>
  <c r="AJ51" i="56"/>
  <c r="AR51" i="56"/>
  <c r="AO51" i="56"/>
  <c r="K20" i="56"/>
  <c r="J20" i="56"/>
  <c r="Z23" i="56"/>
  <c r="T23" i="56"/>
  <c r="AC43" i="56"/>
  <c r="T43" i="56"/>
  <c r="W14" i="86"/>
  <c r="V14" i="86" s="1"/>
  <c r="T14" i="86" s="1"/>
  <c r="M39" i="85"/>
  <c r="L39" i="85" s="1"/>
  <c r="K39" i="85" s="1"/>
  <c r="Y26" i="86"/>
  <c r="Z26" i="86" s="1"/>
  <c r="Y39" i="86"/>
  <c r="Z39" i="86" s="1"/>
  <c r="Y39" i="85"/>
  <c r="Z39" i="85" s="1"/>
  <c r="X16" i="87"/>
  <c r="AJ19" i="59"/>
  <c r="T19" i="59"/>
  <c r="O26" i="85"/>
  <c r="P26" i="85" s="1"/>
  <c r="AR19" i="59"/>
  <c r="O14" i="85"/>
  <c r="P14" i="85" s="1"/>
  <c r="M26" i="85"/>
  <c r="L26" i="85" s="1"/>
  <c r="K26" i="85" s="1"/>
  <c r="V16" i="84"/>
  <c r="M13" i="84" s="1"/>
  <c r="L13" i="84" s="1"/>
  <c r="AM19" i="59"/>
  <c r="J18" i="59"/>
  <c r="AJ18" i="59" s="1"/>
  <c r="AS41" i="59"/>
  <c r="AL41" i="59"/>
  <c r="AN41" i="59"/>
  <c r="AM17" i="59"/>
  <c r="AK17" i="59"/>
  <c r="AO17" i="59"/>
  <c r="AP17" i="59"/>
  <c r="AE17" i="59"/>
  <c r="AS17" i="59"/>
  <c r="AD51" i="59"/>
  <c r="AV45" i="59"/>
  <c r="AR17" i="59"/>
  <c r="F10" i="60"/>
  <c r="V6" i="60"/>
  <c r="AJ34" i="59"/>
  <c r="AR34" i="59"/>
  <c r="AO34" i="59"/>
  <c r="AG34" i="59"/>
  <c r="AF34" i="59"/>
  <c r="AS34" i="59"/>
  <c r="AP34" i="59"/>
  <c r="AH34" i="59"/>
  <c r="AM34" i="59"/>
  <c r="AD34" i="59"/>
  <c r="AQ34" i="59"/>
  <c r="AQ43" i="59"/>
  <c r="AJ43" i="59"/>
  <c r="AM43" i="59"/>
  <c r="AS43" i="59"/>
  <c r="AE43" i="59"/>
  <c r="AK43" i="59"/>
  <c r="AN43" i="59"/>
  <c r="AP43" i="59"/>
  <c r="AH43" i="59"/>
  <c r="AO43" i="59"/>
  <c r="AN28" i="59"/>
  <c r="AR28" i="59"/>
  <c r="AQ28" i="59"/>
  <c r="AQ17" i="59"/>
  <c r="AJ17" i="59"/>
  <c r="Z43" i="59"/>
  <c r="W18" i="59"/>
  <c r="AC18" i="59"/>
  <c r="T18" i="59"/>
  <c r="Z18" i="59"/>
  <c r="AG18" i="59" s="1"/>
  <c r="W50" i="59"/>
  <c r="AN45" i="59"/>
  <c r="AS45" i="59"/>
  <c r="AH50" i="59"/>
  <c r="AO50" i="59"/>
  <c r="AG43" i="59"/>
  <c r="AU37" i="59"/>
  <c r="AC51" i="59"/>
  <c r="W51" i="59"/>
  <c r="Z51" i="59"/>
  <c r="T46" i="59"/>
  <c r="Q46" i="59"/>
  <c r="Z46" i="59"/>
  <c r="AC46" i="59"/>
  <c r="K36" i="59"/>
  <c r="J36" i="59"/>
  <c r="W24" i="59"/>
  <c r="T24" i="59"/>
  <c r="Q24" i="59"/>
  <c r="U16" i="60"/>
  <c r="T16" i="60" s="1"/>
  <c r="Z45" i="59"/>
  <c r="AG45" i="59"/>
  <c r="AM41" i="59"/>
  <c r="AC40" i="59"/>
  <c r="AR43" i="59"/>
  <c r="Z39" i="59"/>
  <c r="Q39" i="59"/>
  <c r="AF43" i="59"/>
  <c r="K49" i="59"/>
  <c r="J49" i="59"/>
  <c r="AS47" i="59"/>
  <c r="AM47" i="59"/>
  <c r="AO47" i="59"/>
  <c r="AN47" i="59"/>
  <c r="AP47" i="59"/>
  <c r="AF47" i="59"/>
  <c r="AQ47" i="59"/>
  <c r="AL47" i="59"/>
  <c r="AJ47" i="59"/>
  <c r="AE47" i="59"/>
  <c r="AK47" i="59"/>
  <c r="AR47" i="59"/>
  <c r="AD47" i="59"/>
  <c r="K37" i="59"/>
  <c r="AC34" i="59"/>
  <c r="Z34" i="59"/>
  <c r="T34" i="59"/>
  <c r="W34" i="59"/>
  <c r="Q34" i="59"/>
  <c r="AR29" i="59"/>
  <c r="AO29" i="59"/>
  <c r="AS29" i="59"/>
  <c r="AP29" i="59"/>
  <c r="AQ29" i="59"/>
  <c r="AD29" i="59"/>
  <c r="AF29" i="59"/>
  <c r="AG29" i="59"/>
  <c r="AE29" i="59"/>
  <c r="AJ29" i="59"/>
  <c r="AK29" i="59"/>
  <c r="AM29" i="59"/>
  <c r="J22" i="59"/>
  <c r="K22" i="59"/>
  <c r="Q28" i="59"/>
  <c r="AC28" i="59"/>
  <c r="AN17" i="59"/>
  <c r="J31" i="59"/>
  <c r="K31" i="59"/>
  <c r="AM50" i="59"/>
  <c r="T45" i="59"/>
  <c r="AJ28" i="59"/>
  <c r="AC52" i="59"/>
  <c r="W52" i="59"/>
  <c r="W46" i="59"/>
  <c r="AK21" i="59"/>
  <c r="AM21" i="59"/>
  <c r="AN21" i="59"/>
  <c r="AV48" i="59"/>
  <c r="AU48" i="59"/>
  <c r="AD43" i="59"/>
  <c r="Z48" i="59"/>
  <c r="AC48" i="59"/>
  <c r="W48" i="59"/>
  <c r="AE39" i="59"/>
  <c r="AJ39" i="59"/>
  <c r="AH39" i="59"/>
  <c r="AS39" i="59"/>
  <c r="AD39" i="59"/>
  <c r="AF39" i="59"/>
  <c r="AQ39" i="59"/>
  <c r="AN39" i="59"/>
  <c r="AG39" i="59"/>
  <c r="AG37" i="59"/>
  <c r="AK37" i="59"/>
  <c r="AL37" i="59"/>
  <c r="AM37" i="59"/>
  <c r="AP37" i="59"/>
  <c r="AD37" i="59"/>
  <c r="AH37" i="59"/>
  <c r="AR37" i="59"/>
  <c r="AJ37" i="59"/>
  <c r="AS37" i="59"/>
  <c r="AF37" i="59"/>
  <c r="AN18" i="59"/>
  <c r="AO18" i="59"/>
  <c r="T4" i="60"/>
  <c r="AP18" i="59"/>
  <c r="AD18" i="59"/>
  <c r="K10" i="60"/>
  <c r="L12" i="60" s="1"/>
  <c r="K12" i="60" s="1"/>
  <c r="AK18" i="59"/>
  <c r="AQ18" i="59"/>
  <c r="AS18" i="59"/>
  <c r="AR18" i="59"/>
  <c r="AF18" i="59"/>
  <c r="AD33" i="59"/>
  <c r="AJ33" i="59"/>
  <c r="AQ33" i="59"/>
  <c r="AN33" i="59"/>
  <c r="AR33" i="59"/>
  <c r="AO33" i="59"/>
  <c r="AH33" i="59"/>
  <c r="AM33" i="59"/>
  <c r="AP33" i="59"/>
  <c r="AG33" i="59"/>
  <c r="AS33" i="59"/>
  <c r="AL33" i="59"/>
  <c r="AO41" i="59"/>
  <c r="AF33" i="59"/>
  <c r="AP45" i="59"/>
  <c r="AM45" i="59"/>
  <c r="AD45" i="59"/>
  <c r="AO45" i="59"/>
  <c r="AR45" i="59"/>
  <c r="AH45" i="59"/>
  <c r="AF41" i="59"/>
  <c r="AC50" i="59"/>
  <c r="Z50" i="59"/>
  <c r="K26" i="59"/>
  <c r="J26" i="59"/>
  <c r="AS50" i="59"/>
  <c r="Q45" i="59"/>
  <c r="AQ45" i="59"/>
  <c r="AJ45" i="59"/>
  <c r="AM28" i="59"/>
  <c r="Z28" i="59"/>
  <c r="U4" i="60"/>
  <c r="AN34" i="59"/>
  <c r="AR30" i="59"/>
  <c r="AC17" i="59"/>
  <c r="AH17" i="59" s="1"/>
  <c r="W17" i="59"/>
  <c r="AF17" i="59" s="1"/>
  <c r="Q17" i="59"/>
  <c r="Z17" i="59"/>
  <c r="AG17" i="59" s="1"/>
  <c r="AC21" i="59"/>
  <c r="Z21" i="59"/>
  <c r="AL43" i="59"/>
  <c r="Z33" i="59"/>
  <c r="T33" i="59"/>
  <c r="AC33" i="59"/>
  <c r="W33" i="59"/>
  <c r="W39" i="86"/>
  <c r="V39" i="86" s="1"/>
  <c r="T39" i="86" s="1"/>
  <c r="M26" i="86"/>
  <c r="L26" i="86" s="1"/>
  <c r="K26" i="86" s="1"/>
  <c r="W14" i="85"/>
  <c r="V14" i="85" s="1"/>
  <c r="T14" i="85" s="1"/>
  <c r="M14" i="86"/>
  <c r="L14" i="86" s="1"/>
  <c r="K14" i="86" s="1"/>
  <c r="AS19" i="59"/>
  <c r="M39" i="86"/>
  <c r="L39" i="86" s="1"/>
  <c r="K39" i="86" s="1"/>
  <c r="AD19" i="59"/>
  <c r="AQ19" i="59"/>
  <c r="AG19" i="59"/>
  <c r="W26" i="86"/>
  <c r="V26" i="86" s="1"/>
  <c r="T26" i="86" s="1"/>
  <c r="AN19" i="59"/>
  <c r="AE19" i="59"/>
  <c r="M14" i="85"/>
  <c r="L14" i="85" s="1"/>
  <c r="K14" i="85" s="1"/>
  <c r="AH19" i="59"/>
  <c r="W26" i="85"/>
  <c r="V26" i="85" s="1"/>
  <c r="T26" i="85" s="1"/>
  <c r="W39" i="85"/>
  <c r="V39" i="85" s="1"/>
  <c r="T39" i="85" s="1"/>
  <c r="J42" i="59"/>
  <c r="K42" i="59"/>
  <c r="K32" i="59"/>
  <c r="J32" i="59"/>
  <c r="Q27" i="59"/>
  <c r="AO25" i="59"/>
  <c r="AC27" i="59"/>
  <c r="AF48" i="59"/>
  <c r="AR48" i="59"/>
  <c r="AL48" i="59"/>
  <c r="AN48" i="59"/>
  <c r="AS48" i="59"/>
  <c r="AO48" i="59"/>
  <c r="AH48" i="59"/>
  <c r="AK48" i="59"/>
  <c r="AP48" i="59"/>
  <c r="AE48" i="59"/>
  <c r="O39" i="86"/>
  <c r="P39" i="86" s="1"/>
  <c r="Q19" i="59"/>
  <c r="O39" i="85"/>
  <c r="P39" i="85" s="1"/>
  <c r="Y14" i="86"/>
  <c r="Z14" i="86" s="1"/>
  <c r="Y26" i="85"/>
  <c r="Z26" i="85" s="1"/>
  <c r="O14" i="86"/>
  <c r="P14" i="86" s="1"/>
  <c r="X16" i="84"/>
  <c r="Y16" i="84" s="1"/>
  <c r="W19" i="59"/>
  <c r="T27" i="59"/>
  <c r="AE40" i="59"/>
  <c r="AD40" i="59"/>
  <c r="AO40" i="59"/>
  <c r="AN40" i="59"/>
  <c r="AK40" i="59"/>
  <c r="J27" i="59"/>
  <c r="AD23" i="59"/>
  <c r="AM23" i="59"/>
  <c r="AL23" i="59"/>
  <c r="AS23" i="59"/>
  <c r="AQ23" i="59"/>
  <c r="AP23" i="59"/>
  <c r="AN23" i="59"/>
  <c r="AE23" i="59"/>
  <c r="O26" i="86"/>
  <c r="P26" i="86" s="1"/>
  <c r="AG24" i="59"/>
  <c r="AM24" i="59"/>
  <c r="Q25" i="59"/>
  <c r="K35" i="59"/>
  <c r="AO35" i="59"/>
  <c r="AS35" i="59"/>
  <c r="AG35" i="59"/>
  <c r="J44" i="59"/>
  <c r="K44" i="59"/>
  <c r="J38" i="59"/>
  <c r="K38" i="59"/>
  <c r="W38" i="85"/>
  <c r="V38" i="85" s="1"/>
  <c r="T38" i="85" s="1"/>
  <c r="K19" i="62"/>
  <c r="O38" i="85" s="1"/>
  <c r="P38" i="85" s="1"/>
  <c r="J38" i="85" s="1"/>
  <c r="AQ19" i="62"/>
  <c r="M13" i="86"/>
  <c r="L13" i="86" s="1"/>
  <c r="K13" i="86" s="1"/>
  <c r="M38" i="86"/>
  <c r="L38" i="86" s="1"/>
  <c r="K38" i="86" s="1"/>
  <c r="U16" i="63"/>
  <c r="T16" i="63" s="1"/>
  <c r="AM48" i="62"/>
  <c r="AJ48" i="62"/>
  <c r="AF48" i="62"/>
  <c r="AL48" i="62"/>
  <c r="AQ48" i="62"/>
  <c r="AR48" i="62"/>
  <c r="AS48" i="62"/>
  <c r="AE48" i="62"/>
  <c r="AP48" i="62"/>
  <c r="AH48" i="62"/>
  <c r="AD48" i="62"/>
  <c r="AN48" i="62"/>
  <c r="AC44" i="62"/>
  <c r="Q36" i="62"/>
  <c r="AC36" i="62"/>
  <c r="K32" i="62"/>
  <c r="J32" i="62"/>
  <c r="K50" i="62"/>
  <c r="J50" i="62"/>
  <c r="AC33" i="62"/>
  <c r="T33" i="62"/>
  <c r="Q33" i="62"/>
  <c r="Z33" i="62"/>
  <c r="Q48" i="62"/>
  <c r="AC48" i="62"/>
  <c r="Z48" i="62"/>
  <c r="W48" i="62"/>
  <c r="T48" i="62"/>
  <c r="AO48" i="62"/>
  <c r="AK48" i="62"/>
  <c r="K21" i="62"/>
  <c r="J21" i="62"/>
  <c r="AH30" i="62"/>
  <c r="AL30" i="62"/>
  <c r="AR30" i="62"/>
  <c r="AS30" i="62"/>
  <c r="AF30" i="62"/>
  <c r="AD30" i="62"/>
  <c r="AG30" i="62"/>
  <c r="AJ30" i="62"/>
  <c r="AQ30" i="62"/>
  <c r="AM30" i="62"/>
  <c r="AE30" i="62"/>
  <c r="AK30" i="62"/>
  <c r="AN30" i="62"/>
  <c r="AO30" i="62"/>
  <c r="AP30" i="62"/>
  <c r="J18" i="62"/>
  <c r="K18" i="62"/>
  <c r="AG48" i="62"/>
  <c r="AI44" i="62"/>
  <c r="AN33" i="62"/>
  <c r="K42" i="62"/>
  <c r="J42" i="62"/>
  <c r="K37" i="62"/>
  <c r="J37" i="62"/>
  <c r="AC38" i="62"/>
  <c r="W38" i="62"/>
  <c r="Q38" i="62"/>
  <c r="T38" i="62"/>
  <c r="K43" i="62"/>
  <c r="J43" i="62"/>
  <c r="Z31" i="62"/>
  <c r="AC31" i="62"/>
  <c r="Q31" i="62"/>
  <c r="K45" i="62"/>
  <c r="J45" i="62"/>
  <c r="AK49" i="62"/>
  <c r="AP49" i="62"/>
  <c r="AF49" i="62"/>
  <c r="AO49" i="62"/>
  <c r="AN49" i="62"/>
  <c r="AS49" i="62"/>
  <c r="AM49" i="62"/>
  <c r="AJ49" i="62"/>
  <c r="J34" i="62"/>
  <c r="K34" i="62"/>
  <c r="AH26" i="62"/>
  <c r="AL49" i="62"/>
  <c r="Z52" i="62"/>
  <c r="AS52" i="62"/>
  <c r="AR49" i="62"/>
  <c r="Y25" i="86"/>
  <c r="Z25" i="86" s="1"/>
  <c r="O13" i="86"/>
  <c r="P13" i="86" s="1"/>
  <c r="O25" i="86"/>
  <c r="P25" i="86" s="1"/>
  <c r="AC19" i="62"/>
  <c r="AH19" i="62" s="1"/>
  <c r="AO38" i="62"/>
  <c r="AP38" i="62"/>
  <c r="AL38" i="62"/>
  <c r="AS38" i="62"/>
  <c r="AN38" i="62"/>
  <c r="AM38" i="62"/>
  <c r="AD38" i="62"/>
  <c r="AF38" i="62"/>
  <c r="AJ38" i="62"/>
  <c r="AQ38" i="62"/>
  <c r="J23" i="62"/>
  <c r="K23" i="62"/>
  <c r="AG46" i="62"/>
  <c r="AJ26" i="62"/>
  <c r="AR26" i="62"/>
  <c r="AG26" i="62"/>
  <c r="AN26" i="62"/>
  <c r="AP26" i="62"/>
  <c r="AQ26" i="62"/>
  <c r="AL26" i="62"/>
  <c r="AO26" i="62"/>
  <c r="AE26" i="62"/>
  <c r="AH49" i="62"/>
  <c r="J28" i="62"/>
  <c r="K28" i="62"/>
  <c r="AO52" i="62"/>
  <c r="AP52" i="62"/>
  <c r="AD52" i="62"/>
  <c r="AG52" i="62"/>
  <c r="AE52" i="62"/>
  <c r="AM52" i="62"/>
  <c r="AJ52" i="62"/>
  <c r="Q52" i="62"/>
  <c r="AG44" i="62"/>
  <c r="AR44" i="62"/>
  <c r="AS44" i="62"/>
  <c r="AK44" i="62"/>
  <c r="AJ44" i="62"/>
  <c r="AK39" i="62"/>
  <c r="AJ39" i="62"/>
  <c r="AO39" i="62"/>
  <c r="AE39" i="62"/>
  <c r="AG39" i="62"/>
  <c r="AH39" i="62"/>
  <c r="AK26" i="62"/>
  <c r="J31" i="62"/>
  <c r="W26" i="62"/>
  <c r="K49" i="62"/>
  <c r="J41" i="62"/>
  <c r="K41" i="62"/>
  <c r="K25" i="62"/>
  <c r="J25" i="62"/>
  <c r="AY54" i="62"/>
  <c r="M25" i="86"/>
  <c r="L25" i="86" s="1"/>
  <c r="K25" i="86" s="1"/>
  <c r="AM19" i="62"/>
  <c r="W13" i="85"/>
  <c r="V13" i="85" s="1"/>
  <c r="AS19" i="62"/>
  <c r="W38" i="86"/>
  <c r="V38" i="86" s="1"/>
  <c r="T38" i="86" s="1"/>
  <c r="W13" i="86"/>
  <c r="V13" i="86" s="1"/>
  <c r="T13" i="86" s="1"/>
  <c r="AR19" i="62"/>
  <c r="AO19" i="62"/>
  <c r="M25" i="85"/>
  <c r="L25" i="85" s="1"/>
  <c r="K25" i="85" s="1"/>
  <c r="M13" i="85"/>
  <c r="L13" i="85" s="1"/>
  <c r="V14" i="84"/>
  <c r="M12" i="84" s="1"/>
  <c r="L12" i="84" s="1"/>
  <c r="AJ19" i="62"/>
  <c r="AP19" i="62"/>
  <c r="AN19" i="62"/>
  <c r="W25" i="86"/>
  <c r="V25" i="86" s="1"/>
  <c r="T25" i="86" s="1"/>
  <c r="AS47" i="62"/>
  <c r="AQ47" i="62"/>
  <c r="AD47" i="62"/>
  <c r="AH47" i="62"/>
  <c r="AE47" i="62"/>
  <c r="AR47" i="62"/>
  <c r="K22" i="62"/>
  <c r="AF35" i="62"/>
  <c r="AD35" i="62"/>
  <c r="AI35" i="62" s="1"/>
  <c r="AS35" i="62"/>
  <c r="AK35" i="62"/>
  <c r="AE35" i="62"/>
  <c r="AM35" i="62"/>
  <c r="AG35" i="62"/>
  <c r="AQ20" i="62"/>
  <c r="AH24" i="62"/>
  <c r="AM24" i="62"/>
  <c r="AO24" i="62"/>
  <c r="AN24" i="62"/>
  <c r="AS24" i="62"/>
  <c r="AF24" i="62"/>
  <c r="AE22" i="62"/>
  <c r="AI22" i="62" s="1"/>
  <c r="AR22" i="62"/>
  <c r="AO22" i="62"/>
  <c r="AN22" i="62"/>
  <c r="AS22" i="62"/>
  <c r="AP22" i="62"/>
  <c r="AC24" i="62"/>
  <c r="Z24" i="62"/>
  <c r="AQ24" i="62"/>
  <c r="AK24" i="62"/>
  <c r="W35" i="62"/>
  <c r="T35" i="62"/>
  <c r="AC35" i="62"/>
  <c r="Z27" i="62"/>
  <c r="AM51" i="62"/>
  <c r="K29" i="62"/>
  <c r="J29" i="62"/>
  <c r="AM27" i="62"/>
  <c r="K17" i="62"/>
  <c r="J17" i="62"/>
  <c r="T30" i="62"/>
  <c r="W30" i="62"/>
  <c r="W49" i="65"/>
  <c r="Q49" i="65"/>
  <c r="AC49" i="65"/>
  <c r="Z49" i="65"/>
  <c r="T49" i="65"/>
  <c r="Y24" i="86"/>
  <c r="Z24" i="86" s="1"/>
  <c r="Y37" i="86"/>
  <c r="Z37" i="86" s="1"/>
  <c r="O24" i="86"/>
  <c r="P24" i="86" s="1"/>
  <c r="Y12" i="85"/>
  <c r="Z12" i="85" s="1"/>
  <c r="O24" i="85"/>
  <c r="P24" i="85" s="1"/>
  <c r="Y12" i="86"/>
  <c r="Z12" i="86" s="1"/>
  <c r="X12" i="84"/>
  <c r="Y12" i="84" s="1"/>
  <c r="O12" i="86"/>
  <c r="P12" i="86" s="1"/>
  <c r="Y37" i="85"/>
  <c r="Z37" i="85" s="1"/>
  <c r="Z19" i="65"/>
  <c r="O12" i="85"/>
  <c r="P12" i="85" s="1"/>
  <c r="Y24" i="85"/>
  <c r="Z24" i="85" s="1"/>
  <c r="AC19" i="65"/>
  <c r="O37" i="85"/>
  <c r="P37" i="85" s="1"/>
  <c r="W19" i="65"/>
  <c r="AS32" i="65"/>
  <c r="AF32" i="65"/>
  <c r="AR32" i="65"/>
  <c r="AJ32" i="65"/>
  <c r="AL32" i="65"/>
  <c r="AN32" i="65"/>
  <c r="AP32" i="65"/>
  <c r="AK32" i="65"/>
  <c r="AG32" i="65"/>
  <c r="AD32" i="65"/>
  <c r="AQ32" i="65"/>
  <c r="W37" i="65"/>
  <c r="AC37" i="65"/>
  <c r="T37" i="65"/>
  <c r="AK23" i="65"/>
  <c r="Q37" i="65"/>
  <c r="K32" i="65"/>
  <c r="Q36" i="65"/>
  <c r="W36" i="65"/>
  <c r="T36" i="65"/>
  <c r="AC36" i="65"/>
  <c r="AK37" i="65"/>
  <c r="AL37" i="65"/>
  <c r="J34" i="65"/>
  <c r="K34" i="65"/>
  <c r="AO51" i="65"/>
  <c r="AE51" i="65"/>
  <c r="AP51" i="65"/>
  <c r="AF51" i="65"/>
  <c r="AG51" i="65"/>
  <c r="AJ51" i="65"/>
  <c r="AM51" i="65"/>
  <c r="AS51" i="65"/>
  <c r="AR51" i="65"/>
  <c r="AH51" i="65"/>
  <c r="AD51" i="65"/>
  <c r="AL51" i="65"/>
  <c r="X12" i="87"/>
  <c r="Y12" i="87" s="1"/>
  <c r="AH44" i="65"/>
  <c r="AP44" i="65"/>
  <c r="AD44" i="65"/>
  <c r="AJ44" i="65"/>
  <c r="AG44" i="65"/>
  <c r="AM44" i="65"/>
  <c r="K51" i="65"/>
  <c r="AM30" i="65"/>
  <c r="AH30" i="65"/>
  <c r="AS30" i="65"/>
  <c r="AF30" i="65"/>
  <c r="AK30" i="65"/>
  <c r="AQ30" i="65"/>
  <c r="AD30" i="65"/>
  <c r="AG30" i="65"/>
  <c r="AP30" i="65"/>
  <c r="AO30" i="65"/>
  <c r="AL30" i="65"/>
  <c r="AJ30" i="65"/>
  <c r="AR23" i="65"/>
  <c r="AF20" i="65"/>
  <c r="T20" i="65"/>
  <c r="Z20" i="65"/>
  <c r="W20" i="65"/>
  <c r="K30" i="65"/>
  <c r="AK36" i="65"/>
  <c r="AE36" i="65"/>
  <c r="AF36" i="65"/>
  <c r="K23" i="65"/>
  <c r="J17" i="65"/>
  <c r="K17" i="65"/>
  <c r="W43" i="65"/>
  <c r="T43" i="65"/>
  <c r="Q43" i="65"/>
  <c r="Z43" i="65"/>
  <c r="K46" i="65"/>
  <c r="J46" i="65"/>
  <c r="J39" i="65"/>
  <c r="K39" i="65"/>
  <c r="O37" i="86"/>
  <c r="P37" i="86" s="1"/>
  <c r="Z36" i="65"/>
  <c r="AJ23" i="65"/>
  <c r="AE23" i="65"/>
  <c r="AM23" i="65"/>
  <c r="AP23" i="65"/>
  <c r="AF23" i="65"/>
  <c r="AD23" i="65"/>
  <c r="AQ23" i="65"/>
  <c r="AH23" i="65"/>
  <c r="AM20" i="65"/>
  <c r="AK20" i="65"/>
  <c r="AH20" i="65"/>
  <c r="AO20" i="65"/>
  <c r="AE20" i="65"/>
  <c r="AP20" i="65"/>
  <c r="AR20" i="65"/>
  <c r="AD20" i="65"/>
  <c r="AS20" i="65"/>
  <c r="AG20" i="65"/>
  <c r="K42" i="65"/>
  <c r="J42" i="65"/>
  <c r="AS44" i="65"/>
  <c r="T19" i="65"/>
  <c r="AN30" i="65"/>
  <c r="AQ51" i="65"/>
  <c r="K26" i="65"/>
  <c r="J26" i="65"/>
  <c r="J19" i="65"/>
  <c r="Z44" i="65"/>
  <c r="T44" i="65"/>
  <c r="AS49" i="65"/>
  <c r="AP49" i="65"/>
  <c r="AO49" i="65"/>
  <c r="AR49" i="65"/>
  <c r="AL49" i="65"/>
  <c r="AM49" i="65"/>
  <c r="AE49" i="65"/>
  <c r="AJ49" i="65"/>
  <c r="AQ49" i="65"/>
  <c r="AN49" i="65"/>
  <c r="AC28" i="65"/>
  <c r="Q28" i="65"/>
  <c r="T28" i="65"/>
  <c r="Z28" i="65"/>
  <c r="AQ41" i="65"/>
  <c r="AH41" i="65"/>
  <c r="AE41" i="65"/>
  <c r="AL41" i="65"/>
  <c r="AS41" i="65"/>
  <c r="AN41" i="65"/>
  <c r="AP41" i="65"/>
  <c r="AJ41" i="65"/>
  <c r="AO41" i="65"/>
  <c r="AQ25" i="65"/>
  <c r="AS25" i="65"/>
  <c r="AF25" i="65"/>
  <c r="AM18" i="65"/>
  <c r="Q44" i="65"/>
  <c r="AV48" i="65"/>
  <c r="AS48" i="65"/>
  <c r="AE48" i="65"/>
  <c r="AH48" i="65"/>
  <c r="AL48" i="65"/>
  <c r="AM48" i="65"/>
  <c r="AJ48" i="65"/>
  <c r="AQ48" i="65"/>
  <c r="AG48" i="65"/>
  <c r="AR41" i="65"/>
  <c r="W18" i="65"/>
  <c r="AC21" i="65"/>
  <c r="W44" i="65"/>
  <c r="AH49" i="65"/>
  <c r="T21" i="65"/>
  <c r="AM47" i="65"/>
  <c r="J21" i="65"/>
  <c r="AP22" i="65"/>
  <c r="AO48" i="65"/>
  <c r="AD41" i="65"/>
  <c r="AQ43" i="65"/>
  <c r="AG43" i="65"/>
  <c r="AJ43" i="65"/>
  <c r="AE43" i="65"/>
  <c r="AL43" i="65"/>
  <c r="AP43" i="65"/>
  <c r="K31" i="65"/>
  <c r="J31" i="65"/>
  <c r="U16" i="66"/>
  <c r="T16" i="66" s="1"/>
  <c r="AY54" i="65"/>
  <c r="W28" i="65"/>
  <c r="AG25" i="65"/>
  <c r="AF49" i="65"/>
  <c r="K29" i="65"/>
  <c r="J29" i="65"/>
  <c r="AF52" i="65"/>
  <c r="AD27" i="65"/>
  <c r="AC27" i="65"/>
  <c r="Q27" i="65"/>
  <c r="AC52" i="65"/>
  <c r="Q52" i="65"/>
  <c r="K50" i="65"/>
  <c r="J50" i="65"/>
  <c r="K45" i="65"/>
  <c r="J45" i="65"/>
  <c r="AQ28" i="65"/>
  <c r="AH28" i="65"/>
  <c r="AL28" i="65"/>
  <c r="AO28" i="65"/>
  <c r="AD28" i="65"/>
  <c r="AM28" i="65"/>
  <c r="AJ52" i="65"/>
  <c r="AO52" i="65"/>
  <c r="AK52" i="65"/>
  <c r="AP52" i="65"/>
  <c r="Z48" i="65"/>
  <c r="T48" i="65"/>
  <c r="AN40" i="65"/>
  <c r="AO40" i="65"/>
  <c r="AS40" i="65"/>
  <c r="Q38" i="65"/>
  <c r="Z38" i="65"/>
  <c r="T38" i="65"/>
  <c r="K47" i="68"/>
  <c r="T47" i="68" s="1"/>
  <c r="J47" i="68"/>
  <c r="AR47" i="68" s="1"/>
  <c r="J31" i="68"/>
  <c r="AF31" i="68" s="1"/>
  <c r="K31" i="68"/>
  <c r="Q17" i="68"/>
  <c r="AD48" i="68"/>
  <c r="K27" i="68"/>
  <c r="W27" i="68" s="1"/>
  <c r="AF27" i="68"/>
  <c r="AO27" i="68"/>
  <c r="AS26" i="68"/>
  <c r="K48" i="68"/>
  <c r="T48" i="68" s="1"/>
  <c r="J29" i="68"/>
  <c r="K29" i="68"/>
  <c r="Q29" i="68" s="1"/>
  <c r="J34" i="68"/>
  <c r="AD34" i="68" s="1"/>
  <c r="K34" i="68"/>
  <c r="AN26" i="68"/>
  <c r="AG47" i="68"/>
  <c r="U4" i="69"/>
  <c r="U19" i="69" s="1"/>
  <c r="AE27" i="68"/>
  <c r="AE26" i="68"/>
  <c r="AM27" i="68"/>
  <c r="AE52" i="68"/>
  <c r="AL28" i="68"/>
  <c r="K52" i="68"/>
  <c r="J17" i="68"/>
  <c r="AM38" i="68"/>
  <c r="AH38" i="68"/>
  <c r="AP27" i="68"/>
  <c r="J49" i="68"/>
  <c r="AN49" i="68" s="1"/>
  <c r="T45" i="68"/>
  <c r="AP26" i="68"/>
  <c r="AK26" i="68"/>
  <c r="AQ27" i="68"/>
  <c r="AO42" i="68"/>
  <c r="AQ26" i="68"/>
  <c r="AL38" i="68"/>
  <c r="AL27" i="68"/>
  <c r="K26" i="68"/>
  <c r="AD27" i="68"/>
  <c r="AU52" i="68"/>
  <c r="AR28" i="68"/>
  <c r="K28" i="68"/>
  <c r="Z28" i="68" s="1"/>
  <c r="AR38" i="68"/>
  <c r="Z49" i="68"/>
  <c r="AF38" i="68"/>
  <c r="AG27" i="68"/>
  <c r="J32" i="68"/>
  <c r="AL42" i="68"/>
  <c r="AH52" i="68"/>
  <c r="AM26" i="68"/>
  <c r="AH27" i="68"/>
  <c r="AK42" i="68"/>
  <c r="K38" i="68"/>
  <c r="J45" i="68"/>
  <c r="AU26" i="68"/>
  <c r="AV26" i="68"/>
  <c r="K35" i="68"/>
  <c r="J35" i="68"/>
  <c r="W41" i="68"/>
  <c r="AK49" i="68"/>
  <c r="J36" i="68"/>
  <c r="K36" i="68"/>
  <c r="J33" i="68"/>
  <c r="K33" i="68"/>
  <c r="AC30" i="68"/>
  <c r="Z30" i="68"/>
  <c r="W30" i="68"/>
  <c r="T30" i="68"/>
  <c r="AC25" i="68"/>
  <c r="T25" i="68"/>
  <c r="Z25" i="68"/>
  <c r="Q25" i="68"/>
  <c r="W25" i="68"/>
  <c r="J20" i="68"/>
  <c r="K20" i="68"/>
  <c r="AP42" i="68"/>
  <c r="AM42" i="68"/>
  <c r="J46" i="68"/>
  <c r="K46" i="68"/>
  <c r="K39" i="68"/>
  <c r="J39" i="68"/>
  <c r="J21" i="68"/>
  <c r="K21" i="68"/>
  <c r="AL34" i="68"/>
  <c r="AS34" i="68"/>
  <c r="W49" i="68"/>
  <c r="Q49" i="68"/>
  <c r="AC49" i="68"/>
  <c r="AJ26" i="68"/>
  <c r="AD26" i="68"/>
  <c r="AG26" i="68"/>
  <c r="AO26" i="68"/>
  <c r="AF26" i="68"/>
  <c r="AH26" i="68"/>
  <c r="AL26" i="68"/>
  <c r="AR26" i="68"/>
  <c r="AD52" i="68"/>
  <c r="AN52" i="68"/>
  <c r="AF52" i="68"/>
  <c r="AK52" i="68"/>
  <c r="AO52" i="68"/>
  <c r="AQ52" i="68"/>
  <c r="AS52" i="68"/>
  <c r="AR52" i="68"/>
  <c r="AJ52" i="68"/>
  <c r="AL52" i="68"/>
  <c r="AP52" i="68"/>
  <c r="AM52" i="68"/>
  <c r="AM30" i="68"/>
  <c r="AF30" i="68"/>
  <c r="AJ30" i="68"/>
  <c r="AE30" i="68"/>
  <c r="AO30" i="68"/>
  <c r="AN30" i="68"/>
  <c r="AH30" i="68"/>
  <c r="AL30" i="68"/>
  <c r="AQ30" i="68"/>
  <c r="AG30" i="68"/>
  <c r="AR30" i="68"/>
  <c r="AD30" i="68"/>
  <c r="AK30" i="68"/>
  <c r="AP30" i="68"/>
  <c r="AQ18" i="68"/>
  <c r="AJ18" i="68"/>
  <c r="AS18" i="68"/>
  <c r="AR18" i="68"/>
  <c r="AP18" i="68"/>
  <c r="AO18" i="68"/>
  <c r="AK18" i="68"/>
  <c r="J50" i="68"/>
  <c r="K50" i="68"/>
  <c r="AH42" i="68"/>
  <c r="AF42" i="68"/>
  <c r="AE42" i="68"/>
  <c r="AG42" i="68"/>
  <c r="AR42" i="68"/>
  <c r="AN42" i="68"/>
  <c r="AS42" i="68"/>
  <c r="AD42" i="68"/>
  <c r="AJ42" i="68"/>
  <c r="J40" i="68"/>
  <c r="K40" i="68"/>
  <c r="K42" i="68"/>
  <c r="J22" i="68"/>
  <c r="K22" i="68"/>
  <c r="AV48" i="68"/>
  <c r="AU48" i="68"/>
  <c r="AK34" i="68"/>
  <c r="J25" i="68"/>
  <c r="J43" i="68"/>
  <c r="K43" i="68"/>
  <c r="AH41" i="68"/>
  <c r="AD41" i="68"/>
  <c r="AL48" i="68"/>
  <c r="AM48" i="68"/>
  <c r="AJ48" i="68"/>
  <c r="AK48" i="68"/>
  <c r="AN48" i="68"/>
  <c r="AO48" i="68"/>
  <c r="AH48" i="68"/>
  <c r="AR48" i="68"/>
  <c r="AF48" i="68"/>
  <c r="AQ28" i="68"/>
  <c r="AP28" i="68"/>
  <c r="AE28" i="68"/>
  <c r="AO28" i="68"/>
  <c r="AK28" i="68"/>
  <c r="AN28" i="68"/>
  <c r="AM28" i="68"/>
  <c r="AD28" i="68"/>
  <c r="AP48" i="68"/>
  <c r="AC45" i="68"/>
  <c r="Q45" i="68"/>
  <c r="W45" i="68"/>
  <c r="K23" i="68"/>
  <c r="J23" i="68"/>
  <c r="J37" i="68"/>
  <c r="K37" i="68"/>
  <c r="AY54" i="68"/>
  <c r="AF28" i="68"/>
  <c r="AS48" i="68"/>
  <c r="J24" i="68"/>
  <c r="K24" i="68"/>
  <c r="J44" i="68"/>
  <c r="K44" i="68"/>
  <c r="AS28" i="68"/>
  <c r="AG48" i="68"/>
  <c r="J51" i="68"/>
  <c r="K51" i="68"/>
  <c r="AQ38" i="68"/>
  <c r="AN38" i="68"/>
  <c r="AS38" i="68"/>
  <c r="AJ38" i="68"/>
  <c r="AE38" i="68"/>
  <c r="AP38" i="68"/>
  <c r="AO38" i="68"/>
  <c r="AD38" i="68"/>
  <c r="AG38" i="68"/>
  <c r="Q32" i="68"/>
  <c r="AC32" i="68"/>
  <c r="W32" i="68"/>
  <c r="T32" i="68"/>
  <c r="AN27" i="68"/>
  <c r="AJ27" i="68"/>
  <c r="AS27" i="68"/>
  <c r="Z17" i="68"/>
  <c r="I10" i="69" s="1"/>
  <c r="J19" i="68"/>
  <c r="K19" i="68"/>
  <c r="W42" i="71"/>
  <c r="Z42" i="71"/>
  <c r="Q42" i="71"/>
  <c r="AC42" i="71"/>
  <c r="T42" i="71"/>
  <c r="Z26" i="71"/>
  <c r="K37" i="71"/>
  <c r="J37" i="71"/>
  <c r="J42" i="71"/>
  <c r="Z44" i="71"/>
  <c r="T44" i="71"/>
  <c r="Q44" i="71"/>
  <c r="W44" i="71"/>
  <c r="AC44" i="71"/>
  <c r="K32" i="71"/>
  <c r="AC31" i="71"/>
  <c r="Z31" i="71"/>
  <c r="J45" i="71"/>
  <c r="K45" i="71"/>
  <c r="J24" i="71"/>
  <c r="K24" i="71"/>
  <c r="Z28" i="71"/>
  <c r="T28" i="71"/>
  <c r="W28" i="71"/>
  <c r="Q28" i="71"/>
  <c r="W52" i="71"/>
  <c r="AC52" i="71"/>
  <c r="T31" i="71"/>
  <c r="J44" i="71"/>
  <c r="K41" i="71"/>
  <c r="K51" i="71"/>
  <c r="AU31" i="71"/>
  <c r="AU36" i="71"/>
  <c r="AC28" i="71"/>
  <c r="K48" i="71"/>
  <c r="W31" i="71"/>
  <c r="W38" i="71"/>
  <c r="AC38" i="71"/>
  <c r="Z38" i="71"/>
  <c r="Q34" i="71"/>
  <c r="T21" i="71"/>
  <c r="Q21" i="71"/>
  <c r="Z21" i="71"/>
  <c r="AC21" i="71"/>
  <c r="W21" i="71"/>
  <c r="J20" i="71"/>
  <c r="K20" i="71"/>
  <c r="J21" i="71"/>
  <c r="K23" i="71"/>
  <c r="AY54" i="71"/>
  <c r="U16" i="72"/>
  <c r="T16" i="72" s="1"/>
  <c r="S9" i="85"/>
  <c r="S21" i="85"/>
  <c r="Z34" i="86"/>
  <c r="S34" i="86" s="1"/>
  <c r="J21" i="85"/>
  <c r="U16" i="79"/>
  <c r="T16" i="79" s="1"/>
  <c r="J9" i="85"/>
  <c r="S34" i="85"/>
  <c r="K34" i="85"/>
  <c r="J34" i="85"/>
  <c r="P9" i="86"/>
  <c r="J9" i="86" s="1"/>
  <c r="Z21" i="86"/>
  <c r="S21" i="86" s="1"/>
  <c r="K8" i="84"/>
  <c r="T10" i="69"/>
  <c r="AF55" i="68"/>
  <c r="AF56" i="68" s="1"/>
  <c r="W17" i="68"/>
  <c r="G10" i="69"/>
  <c r="T8" i="69"/>
  <c r="T14" i="69"/>
  <c r="AH55" i="68"/>
  <c r="AH56" i="68" s="1"/>
  <c r="AC17" i="68"/>
  <c r="U14" i="69"/>
  <c r="M42" i="67"/>
  <c r="M43" i="67" s="1"/>
  <c r="N6" i="67"/>
  <c r="D17" i="68" s="1"/>
  <c r="G17" i="68" s="1"/>
  <c r="U12" i="69"/>
  <c r="K42" i="67"/>
  <c r="K43" i="67" s="1"/>
  <c r="X17" i="68"/>
  <c r="Y6" i="87"/>
  <c r="K8" i="87" s="1"/>
  <c r="J34" i="86"/>
  <c r="AT32" i="71" l="1"/>
  <c r="AK32" i="71"/>
  <c r="AS32" i="71"/>
  <c r="AD32" i="71"/>
  <c r="AL32" i="71"/>
  <c r="AF32" i="71"/>
  <c r="AN32" i="71"/>
  <c r="AO32" i="71"/>
  <c r="AQ32" i="71"/>
  <c r="AP32" i="71"/>
  <c r="AE32" i="71"/>
  <c r="AH32" i="71"/>
  <c r="AG32" i="71"/>
  <c r="AR32" i="71"/>
  <c r="AM32" i="71"/>
  <c r="AJ32" i="71"/>
  <c r="AT47" i="71"/>
  <c r="AK47" i="71"/>
  <c r="AS47" i="71"/>
  <c r="AD47" i="71"/>
  <c r="AL47" i="71"/>
  <c r="AF47" i="71"/>
  <c r="AN47" i="71"/>
  <c r="AE47" i="71"/>
  <c r="AQ47" i="71"/>
  <c r="AH47" i="71"/>
  <c r="AG47" i="71"/>
  <c r="AR47" i="71"/>
  <c r="AM47" i="71"/>
  <c r="AP47" i="71"/>
  <c r="AO47" i="71"/>
  <c r="AJ47" i="71"/>
  <c r="AD38" i="65"/>
  <c r="AF18" i="65"/>
  <c r="AJ37" i="65"/>
  <c r="AQ37" i="65"/>
  <c r="AJ20" i="62"/>
  <c r="AS39" i="56"/>
  <c r="AR39" i="56"/>
  <c r="T50" i="56"/>
  <c r="AT37" i="71"/>
  <c r="AK37" i="71"/>
  <c r="AS37" i="71"/>
  <c r="AD37" i="71"/>
  <c r="AL37" i="71"/>
  <c r="AF37" i="71"/>
  <c r="AN37" i="71"/>
  <c r="AJ37" i="71"/>
  <c r="AO37" i="71"/>
  <c r="AM37" i="71"/>
  <c r="AP37" i="71"/>
  <c r="AR37" i="71"/>
  <c r="AH37" i="71"/>
  <c r="AQ37" i="71"/>
  <c r="AE37" i="71"/>
  <c r="AG37" i="71"/>
  <c r="AR38" i="65"/>
  <c r="W47" i="65"/>
  <c r="AM35" i="47"/>
  <c r="AR46" i="62"/>
  <c r="AT41" i="71"/>
  <c r="AK41" i="71"/>
  <c r="AS41" i="71"/>
  <c r="AD41" i="71"/>
  <c r="AL41" i="71"/>
  <c r="AF41" i="71"/>
  <c r="AN41" i="71"/>
  <c r="AJ41" i="71"/>
  <c r="AM41" i="71"/>
  <c r="AO41" i="71"/>
  <c r="AP41" i="71"/>
  <c r="AG41" i="71"/>
  <c r="AR41" i="71"/>
  <c r="AH41" i="71"/>
  <c r="AQ41" i="71"/>
  <c r="AE41" i="71"/>
  <c r="AC18" i="65"/>
  <c r="AR25" i="65"/>
  <c r="AR36" i="65"/>
  <c r="AC47" i="65"/>
  <c r="AF37" i="65"/>
  <c r="AR27" i="62"/>
  <c r="AL21" i="59"/>
  <c r="AP39" i="56"/>
  <c r="T39" i="56"/>
  <c r="AV24" i="56"/>
  <c r="AF26" i="47"/>
  <c r="AI52" i="81"/>
  <c r="AT39" i="71"/>
  <c r="AK39" i="71"/>
  <c r="AS39" i="71"/>
  <c r="AD39" i="71"/>
  <c r="AI39" i="71" s="1"/>
  <c r="AL39" i="71"/>
  <c r="AF39" i="71"/>
  <c r="AN39" i="71"/>
  <c r="AE39" i="71"/>
  <c r="AQ39" i="71"/>
  <c r="AH39" i="71"/>
  <c r="AG39" i="71"/>
  <c r="AR39" i="71"/>
  <c r="AM39" i="71"/>
  <c r="AP39" i="71"/>
  <c r="AJ39" i="71"/>
  <c r="AO39" i="71"/>
  <c r="AJ18" i="65"/>
  <c r="AK18" i="65"/>
  <c r="Z18" i="65"/>
  <c r="AG18" i="65" s="1"/>
  <c r="AR18" i="65"/>
  <c r="AJ25" i="65"/>
  <c r="AV28" i="65"/>
  <c r="AD37" i="65"/>
  <c r="Q47" i="65"/>
  <c r="AE37" i="65"/>
  <c r="AI37" i="65" s="1"/>
  <c r="AN27" i="62"/>
  <c r="AN46" i="62"/>
  <c r="Q46" i="62"/>
  <c r="AD25" i="59"/>
  <c r="AK25" i="59"/>
  <c r="T21" i="59"/>
  <c r="T41" i="59"/>
  <c r="AG28" i="59"/>
  <c r="AD30" i="59"/>
  <c r="AG41" i="59"/>
  <c r="AE28" i="59"/>
  <c r="AI28" i="59" s="1"/>
  <c r="AJ41" i="59"/>
  <c r="AD37" i="56"/>
  <c r="Q49" i="56"/>
  <c r="AJ49" i="56"/>
  <c r="AG39" i="56"/>
  <c r="AC39" i="56"/>
  <c r="AC50" i="56"/>
  <c r="AS49" i="81"/>
  <c r="Q26" i="81"/>
  <c r="AS51" i="81"/>
  <c r="AP49" i="81"/>
  <c r="AJ30" i="47"/>
  <c r="Q26" i="47"/>
  <c r="AJ26" i="47"/>
  <c r="AG35" i="47"/>
  <c r="AP27" i="62"/>
  <c r="AI40" i="62"/>
  <c r="AK27" i="62"/>
  <c r="AF25" i="56"/>
  <c r="AK49" i="81"/>
  <c r="AT51" i="71"/>
  <c r="AK51" i="71"/>
  <c r="AS51" i="71"/>
  <c r="AD51" i="71"/>
  <c r="AL51" i="71"/>
  <c r="AF51" i="71"/>
  <c r="AN51" i="71"/>
  <c r="AE51" i="71"/>
  <c r="AQ51" i="71"/>
  <c r="AG51" i="71"/>
  <c r="AR51" i="71"/>
  <c r="AH51" i="71"/>
  <c r="AM51" i="71"/>
  <c r="AO51" i="71"/>
  <c r="AP51" i="71"/>
  <c r="AJ51" i="71"/>
  <c r="AT38" i="71"/>
  <c r="AK38" i="71"/>
  <c r="AS38" i="71"/>
  <c r="AD38" i="71"/>
  <c r="AL38" i="71"/>
  <c r="AF38" i="71"/>
  <c r="AN38" i="71"/>
  <c r="AH38" i="71"/>
  <c r="AJ38" i="71"/>
  <c r="AM38" i="71"/>
  <c r="AQ38" i="71"/>
  <c r="AR38" i="71"/>
  <c r="AE38" i="71"/>
  <c r="AG38" i="71"/>
  <c r="AO38" i="71"/>
  <c r="AP38" i="71"/>
  <c r="AT25" i="71"/>
  <c r="AK25" i="71"/>
  <c r="AS25" i="71"/>
  <c r="AD25" i="71"/>
  <c r="AL25" i="71"/>
  <c r="AF25" i="71"/>
  <c r="AN25" i="71"/>
  <c r="AJ25" i="71"/>
  <c r="AE25" i="71"/>
  <c r="AM25" i="71"/>
  <c r="AO25" i="71"/>
  <c r="AQ25" i="71"/>
  <c r="AP25" i="71"/>
  <c r="AG25" i="71"/>
  <c r="AH25" i="71"/>
  <c r="AR25" i="71"/>
  <c r="AI24" i="62"/>
  <c r="AD20" i="62"/>
  <c r="AI20" i="62" s="1"/>
  <c r="J39" i="85"/>
  <c r="AD36" i="56"/>
  <c r="AH39" i="56"/>
  <c r="Z50" i="56"/>
  <c r="W31" i="47"/>
  <c r="AI49" i="62"/>
  <c r="AS20" i="62"/>
  <c r="AI36" i="71"/>
  <c r="AT44" i="71"/>
  <c r="AK44" i="71"/>
  <c r="AS44" i="71"/>
  <c r="AD44" i="71"/>
  <c r="AL44" i="71"/>
  <c r="AF44" i="71"/>
  <c r="AN44" i="71"/>
  <c r="AO44" i="71"/>
  <c r="AE44" i="71"/>
  <c r="AP44" i="71"/>
  <c r="AQ44" i="71"/>
  <c r="AG44" i="71"/>
  <c r="AR44" i="71"/>
  <c r="AM44" i="71"/>
  <c r="AH44" i="71"/>
  <c r="AJ44" i="71"/>
  <c r="AO20" i="62"/>
  <c r="AL46" i="62"/>
  <c r="W21" i="59"/>
  <c r="AE35" i="47"/>
  <c r="AU50" i="71"/>
  <c r="Q26" i="71"/>
  <c r="AC34" i="71"/>
  <c r="J35" i="71"/>
  <c r="J46" i="71"/>
  <c r="AT24" i="71"/>
  <c r="AK24" i="71"/>
  <c r="AS24" i="71"/>
  <c r="AD24" i="71"/>
  <c r="AI24" i="71" s="1"/>
  <c r="AL24" i="71"/>
  <c r="AF24" i="71"/>
  <c r="AN24" i="71"/>
  <c r="AO24" i="71"/>
  <c r="AP24" i="71"/>
  <c r="AE24" i="71"/>
  <c r="AQ24" i="71"/>
  <c r="AG24" i="71"/>
  <c r="AR24" i="71"/>
  <c r="AH24" i="71"/>
  <c r="AM24" i="71"/>
  <c r="AJ24" i="71"/>
  <c r="W26" i="71"/>
  <c r="AE38" i="65"/>
  <c r="AO18" i="65"/>
  <c r="AP18" i="65"/>
  <c r="AP25" i="65"/>
  <c r="AH35" i="65"/>
  <c r="AO35" i="65"/>
  <c r="AN37" i="65"/>
  <c r="Z51" i="62"/>
  <c r="Z46" i="62"/>
  <c r="Q30" i="59"/>
  <c r="AM25" i="59"/>
  <c r="AE30" i="59"/>
  <c r="AS28" i="59"/>
  <c r="AE41" i="59"/>
  <c r="AK28" i="59"/>
  <c r="AH41" i="59"/>
  <c r="AG37" i="56"/>
  <c r="T49" i="56"/>
  <c r="AE25" i="56"/>
  <c r="AG49" i="56"/>
  <c r="AR36" i="56"/>
  <c r="AN39" i="56"/>
  <c r="AO49" i="81"/>
  <c r="AE30" i="47"/>
  <c r="AS26" i="47"/>
  <c r="AF35" i="47"/>
  <c r="AQ24" i="47"/>
  <c r="AG36" i="65"/>
  <c r="AV21" i="59"/>
  <c r="AM25" i="56"/>
  <c r="AS49" i="56"/>
  <c r="AV27" i="81"/>
  <c r="AO30" i="47"/>
  <c r="AT23" i="71"/>
  <c r="AK23" i="71"/>
  <c r="AS23" i="71"/>
  <c r="AD23" i="71"/>
  <c r="AL23" i="71"/>
  <c r="AF23" i="71"/>
  <c r="AN23" i="71"/>
  <c r="AE23" i="71"/>
  <c r="AQ23" i="71"/>
  <c r="AG23" i="71"/>
  <c r="AR23" i="71"/>
  <c r="AH23" i="71"/>
  <c r="AJ23" i="71"/>
  <c r="AO23" i="71"/>
  <c r="AP23" i="71"/>
  <c r="AM23" i="71"/>
  <c r="Z40" i="59"/>
  <c r="Q40" i="59"/>
  <c r="AI50" i="71"/>
  <c r="T38" i="71"/>
  <c r="Q38" i="71"/>
  <c r="AT22" i="71"/>
  <c r="AK22" i="71"/>
  <c r="AS22" i="71"/>
  <c r="AD22" i="71"/>
  <c r="AL22" i="71"/>
  <c r="AF22" i="71"/>
  <c r="AN22" i="71"/>
  <c r="AH22" i="71"/>
  <c r="AJ22" i="71"/>
  <c r="AM22" i="71"/>
  <c r="AO22" i="71"/>
  <c r="AE22" i="71"/>
  <c r="AG22" i="71"/>
  <c r="AP22" i="71"/>
  <c r="AQ22" i="71"/>
  <c r="AR22" i="71"/>
  <c r="AT34" i="71"/>
  <c r="AU34" i="71" s="1"/>
  <c r="AK34" i="71"/>
  <c r="AS34" i="71"/>
  <c r="AD34" i="71"/>
  <c r="AL34" i="71"/>
  <c r="AF34" i="71"/>
  <c r="AN34" i="71"/>
  <c r="AH34" i="71"/>
  <c r="AJ34" i="71"/>
  <c r="AM34" i="71"/>
  <c r="AP34" i="71"/>
  <c r="AE34" i="71"/>
  <c r="AO34" i="71"/>
  <c r="AQ34" i="71"/>
  <c r="AR34" i="71"/>
  <c r="AG34" i="71"/>
  <c r="AM37" i="65"/>
  <c r="AO37" i="65"/>
  <c r="AD46" i="62"/>
  <c r="T51" i="56"/>
  <c r="AM20" i="62"/>
  <c r="AO25" i="65"/>
  <c r="AH31" i="68"/>
  <c r="AP38" i="65"/>
  <c r="AL25" i="65"/>
  <c r="AS25" i="59"/>
  <c r="AP28" i="59"/>
  <c r="AG36" i="56"/>
  <c r="AK30" i="47"/>
  <c r="AI40" i="65"/>
  <c r="AS46" i="62"/>
  <c r="AS24" i="59"/>
  <c r="W25" i="71"/>
  <c r="K39" i="71"/>
  <c r="AC26" i="71"/>
  <c r="AD47" i="68"/>
  <c r="Q47" i="68"/>
  <c r="AK38" i="65"/>
  <c r="AQ18" i="65"/>
  <c r="AK25" i="65"/>
  <c r="AN35" i="65"/>
  <c r="AS36" i="65"/>
  <c r="AL35" i="65"/>
  <c r="AP37" i="65"/>
  <c r="AE46" i="62"/>
  <c r="AI46" i="62" s="1"/>
  <c r="Z30" i="59"/>
  <c r="AI45" i="59"/>
  <c r="AC24" i="59"/>
  <c r="AQ30" i="59"/>
  <c r="AD28" i="59"/>
  <c r="AQ41" i="59"/>
  <c r="AM37" i="56"/>
  <c r="AK49" i="56"/>
  <c r="AH49" i="56"/>
  <c r="AM36" i="56"/>
  <c r="AO25" i="56"/>
  <c r="J27" i="85"/>
  <c r="AL49" i="81"/>
  <c r="AU49" i="81"/>
  <c r="AH30" i="47"/>
  <c r="AI30" i="47" s="1"/>
  <c r="AQ26" i="47"/>
  <c r="Q30" i="47"/>
  <c r="AL35" i="47"/>
  <c r="AK24" i="47"/>
  <c r="AG20" i="62"/>
  <c r="AH21" i="59"/>
  <c r="AV23" i="56"/>
  <c r="AL21" i="56"/>
  <c r="AI31" i="71"/>
  <c r="Z28" i="81"/>
  <c r="W28" i="81"/>
  <c r="AR23" i="56"/>
  <c r="AG23" i="56"/>
  <c r="AM23" i="56"/>
  <c r="AK23" i="56"/>
  <c r="AF23" i="56"/>
  <c r="AI23" i="56" s="1"/>
  <c r="AO23" i="56"/>
  <c r="AJ23" i="56"/>
  <c r="AI28" i="81"/>
  <c r="AT20" i="71"/>
  <c r="AK20" i="71"/>
  <c r="AS20" i="71"/>
  <c r="AD20" i="71"/>
  <c r="AI20" i="71" s="1"/>
  <c r="AL20" i="71"/>
  <c r="AF20" i="71"/>
  <c r="AN20" i="71"/>
  <c r="AO20" i="71"/>
  <c r="AP20" i="71"/>
  <c r="AE20" i="71"/>
  <c r="AQ20" i="71"/>
  <c r="AG20" i="71"/>
  <c r="AR20" i="71"/>
  <c r="AH20" i="71"/>
  <c r="AJ20" i="71"/>
  <c r="AM20" i="71"/>
  <c r="AT42" i="71"/>
  <c r="AK42" i="71"/>
  <c r="AS42" i="71"/>
  <c r="AD42" i="71"/>
  <c r="AL42" i="71"/>
  <c r="AF42" i="71"/>
  <c r="AN42" i="71"/>
  <c r="AH42" i="71"/>
  <c r="AJ42" i="71"/>
  <c r="AM42" i="71"/>
  <c r="AP42" i="71"/>
  <c r="AR42" i="71"/>
  <c r="AG42" i="71"/>
  <c r="AQ42" i="71"/>
  <c r="AO42" i="71"/>
  <c r="AE42" i="71"/>
  <c r="AT26" i="71"/>
  <c r="AK26" i="71"/>
  <c r="AS26" i="71"/>
  <c r="AD26" i="71"/>
  <c r="AL26" i="71"/>
  <c r="AF26" i="71"/>
  <c r="AN26" i="71"/>
  <c r="AH26" i="71"/>
  <c r="AJ26" i="71"/>
  <c r="AM26" i="71"/>
  <c r="AO26" i="71"/>
  <c r="AG26" i="71"/>
  <c r="AP26" i="71"/>
  <c r="AQ26" i="71"/>
  <c r="AR26" i="71"/>
  <c r="AE26" i="71"/>
  <c r="AD25" i="65"/>
  <c r="AS37" i="65"/>
  <c r="AQ46" i="62"/>
  <c r="T46" i="62"/>
  <c r="AL26" i="47"/>
  <c r="AT48" i="71"/>
  <c r="AK48" i="71"/>
  <c r="AS48" i="71"/>
  <c r="AD48" i="71"/>
  <c r="AL48" i="71"/>
  <c r="AF48" i="71"/>
  <c r="AN48" i="71"/>
  <c r="AO48" i="71"/>
  <c r="AQ48" i="71"/>
  <c r="AP48" i="71"/>
  <c r="AE48" i="71"/>
  <c r="AG48" i="71"/>
  <c r="AR48" i="71"/>
  <c r="AH48" i="71"/>
  <c r="AJ48" i="71"/>
  <c r="AM48" i="71"/>
  <c r="K10" i="66"/>
  <c r="L12" i="66" s="1"/>
  <c r="K12" i="66" s="1"/>
  <c r="AC46" i="62"/>
  <c r="AF49" i="81"/>
  <c r="AI49" i="81" s="1"/>
  <c r="AT28" i="71"/>
  <c r="AK28" i="71"/>
  <c r="AS28" i="71"/>
  <c r="AD28" i="71"/>
  <c r="AL28" i="71"/>
  <c r="AF28" i="71"/>
  <c r="AN28" i="71"/>
  <c r="AO28" i="71"/>
  <c r="AH28" i="71"/>
  <c r="AP28" i="71"/>
  <c r="AE28" i="71"/>
  <c r="AQ28" i="71"/>
  <c r="AG28" i="71"/>
  <c r="AR28" i="71"/>
  <c r="AJ28" i="71"/>
  <c r="AM28" i="71"/>
  <c r="Z34" i="71"/>
  <c r="AT21" i="71"/>
  <c r="AK21" i="71"/>
  <c r="AS21" i="71"/>
  <c r="AD21" i="71"/>
  <c r="AL21" i="71"/>
  <c r="AF21" i="71"/>
  <c r="AN21" i="71"/>
  <c r="AJ21" i="71"/>
  <c r="AM21" i="71"/>
  <c r="AO21" i="71"/>
  <c r="AP21" i="71"/>
  <c r="AE21" i="71"/>
  <c r="AQ21" i="71"/>
  <c r="AH21" i="71"/>
  <c r="AG21" i="71"/>
  <c r="AR21" i="71"/>
  <c r="W34" i="71"/>
  <c r="AT45" i="71"/>
  <c r="AK45" i="71"/>
  <c r="AS45" i="71"/>
  <c r="AD45" i="71"/>
  <c r="AL45" i="71"/>
  <c r="AF45" i="71"/>
  <c r="AN45" i="71"/>
  <c r="AJ45" i="71"/>
  <c r="AO45" i="71"/>
  <c r="AM45" i="71"/>
  <c r="AP45" i="71"/>
  <c r="AR45" i="71"/>
  <c r="AH45" i="71"/>
  <c r="AE45" i="71"/>
  <c r="AG45" i="71"/>
  <c r="AQ45" i="71"/>
  <c r="Z18" i="68"/>
  <c r="AG18" i="68" s="1"/>
  <c r="AM25" i="65"/>
  <c r="AI48" i="65"/>
  <c r="T47" i="65"/>
  <c r="AO36" i="65"/>
  <c r="AH37" i="65"/>
  <c r="AG37" i="65"/>
  <c r="AL36" i="62"/>
  <c r="AI39" i="62"/>
  <c r="AQ24" i="59"/>
  <c r="AC30" i="59"/>
  <c r="AP41" i="59"/>
  <c r="AP21" i="59"/>
  <c r="AD41" i="59"/>
  <c r="AI41" i="59" s="1"/>
  <c r="AO28" i="59"/>
  <c r="AR41" i="59"/>
  <c r="AJ39" i="56"/>
  <c r="AD49" i="56"/>
  <c r="AI49" i="56" s="1"/>
  <c r="AQ36" i="56"/>
  <c r="AG25" i="56"/>
  <c r="AF51" i="81"/>
  <c r="AD26" i="47"/>
  <c r="AI26" i="47" s="1"/>
  <c r="AO35" i="47"/>
  <c r="Z27" i="47"/>
  <c r="AN24" i="47"/>
  <c r="AH36" i="65"/>
  <c r="AF20" i="62"/>
  <c r="AD21" i="59"/>
  <c r="AJ25" i="56"/>
  <c r="AV25" i="56"/>
  <c r="AT52" i="71"/>
  <c r="AK52" i="71"/>
  <c r="AS52" i="71"/>
  <c r="AD52" i="71"/>
  <c r="AL52" i="71"/>
  <c r="AF52" i="71"/>
  <c r="AN52" i="71"/>
  <c r="AO52" i="71"/>
  <c r="AE52" i="71"/>
  <c r="AP52" i="71"/>
  <c r="AQ52" i="71"/>
  <c r="AG52" i="71"/>
  <c r="AR52" i="71"/>
  <c r="AM52" i="71"/>
  <c r="AJ52" i="71"/>
  <c r="AH52" i="71"/>
  <c r="AG55" i="71"/>
  <c r="AG56" i="71" s="1"/>
  <c r="AL28" i="81"/>
  <c r="AR28" i="81"/>
  <c r="AH28" i="81"/>
  <c r="AJ28" i="81"/>
  <c r="AS28" i="81"/>
  <c r="AF28" i="81"/>
  <c r="AP28" i="81"/>
  <c r="AD28" i="81"/>
  <c r="AK28" i="81"/>
  <c r="Q48" i="65"/>
  <c r="W48" i="65"/>
  <c r="AC48" i="65"/>
  <c r="AJ27" i="56"/>
  <c r="AQ27" i="56"/>
  <c r="AD27" i="56"/>
  <c r="AM27" i="56"/>
  <c r="AG27" i="56"/>
  <c r="AF27" i="56"/>
  <c r="AL27" i="56"/>
  <c r="AK27" i="56"/>
  <c r="AP27" i="56"/>
  <c r="AH27" i="56"/>
  <c r="AF27" i="65"/>
  <c r="AO27" i="65"/>
  <c r="AR27" i="65"/>
  <c r="AN27" i="65"/>
  <c r="AJ27" i="65"/>
  <c r="AE27" i="65"/>
  <c r="AK27" i="65"/>
  <c r="AG27" i="65"/>
  <c r="AP27" i="65"/>
  <c r="AS27" i="65"/>
  <c r="AU27" i="65"/>
  <c r="AM27" i="65"/>
  <c r="AL27" i="65"/>
  <c r="AK51" i="59"/>
  <c r="AG32" i="56"/>
  <c r="AE32" i="56"/>
  <c r="AN32" i="56"/>
  <c r="AR32" i="56"/>
  <c r="AS32" i="56"/>
  <c r="AF32" i="56"/>
  <c r="AD32" i="56"/>
  <c r="AH32" i="56"/>
  <c r="AO32" i="56"/>
  <c r="Q36" i="71"/>
  <c r="Z36" i="71"/>
  <c r="T36" i="71"/>
  <c r="AC36" i="71"/>
  <c r="W36" i="71"/>
  <c r="Z31" i="68"/>
  <c r="W31" i="68"/>
  <c r="AQ27" i="65"/>
  <c r="K27" i="71"/>
  <c r="J27" i="71"/>
  <c r="Z44" i="47"/>
  <c r="W44" i="47"/>
  <c r="AN47" i="65"/>
  <c r="AG47" i="65"/>
  <c r="AE47" i="65"/>
  <c r="AO47" i="65"/>
  <c r="AS47" i="65"/>
  <c r="AH47" i="65"/>
  <c r="AJ47" i="65"/>
  <c r="AK47" i="65"/>
  <c r="AR41" i="68"/>
  <c r="AU35" i="59"/>
  <c r="AN51" i="59"/>
  <c r="AR46" i="81"/>
  <c r="AR39" i="47"/>
  <c r="Q44" i="47"/>
  <c r="W40" i="65"/>
  <c r="Q40" i="65"/>
  <c r="AC40" i="65"/>
  <c r="AE41" i="68"/>
  <c r="AN32" i="68"/>
  <c r="AG32" i="68"/>
  <c r="AL32" i="68"/>
  <c r="Q52" i="68"/>
  <c r="W52" i="68"/>
  <c r="AC52" i="68"/>
  <c r="T52" i="68"/>
  <c r="AJ47" i="68"/>
  <c r="AV47" i="68"/>
  <c r="AF47" i="68"/>
  <c r="AO47" i="68"/>
  <c r="AN47" i="68"/>
  <c r="AP47" i="68"/>
  <c r="AH47" i="68"/>
  <c r="AE47" i="68"/>
  <c r="AI49" i="65"/>
  <c r="AP47" i="65"/>
  <c r="AR27" i="56"/>
  <c r="AQ48" i="56"/>
  <c r="AC44" i="47"/>
  <c r="AV47" i="71"/>
  <c r="AU47" i="71"/>
  <c r="T52" i="71"/>
  <c r="Z52" i="71"/>
  <c r="AC27" i="56"/>
  <c r="Q27" i="56"/>
  <c r="W27" i="56"/>
  <c r="AV51" i="56"/>
  <c r="AU51" i="56"/>
  <c r="AI51" i="56"/>
  <c r="AS27" i="56"/>
  <c r="J29" i="71"/>
  <c r="K29" i="71"/>
  <c r="AC29" i="71" s="1"/>
  <c r="AC20" i="62"/>
  <c r="Q20" i="62"/>
  <c r="AG39" i="47"/>
  <c r="AD39" i="47"/>
  <c r="AP39" i="47"/>
  <c r="AF39" i="47"/>
  <c r="AE39" i="47"/>
  <c r="AU39" i="47"/>
  <c r="AN39" i="47"/>
  <c r="AK39" i="47"/>
  <c r="AL39" i="47"/>
  <c r="AQ39" i="47"/>
  <c r="AJ39" i="47"/>
  <c r="AH39" i="47"/>
  <c r="AN41" i="68"/>
  <c r="AF47" i="65"/>
  <c r="AI47" i="65" s="1"/>
  <c r="AP32" i="56"/>
  <c r="W43" i="59"/>
  <c r="AC43" i="59"/>
  <c r="Q43" i="59"/>
  <c r="AD47" i="65"/>
  <c r="AU21" i="59"/>
  <c r="AE27" i="56"/>
  <c r="AI27" i="56" s="1"/>
  <c r="AK32" i="56"/>
  <c r="AR51" i="81"/>
  <c r="AI43" i="81"/>
  <c r="AU40" i="65"/>
  <c r="AV40" i="65"/>
  <c r="AR35" i="65"/>
  <c r="AE35" i="65"/>
  <c r="AU35" i="65"/>
  <c r="AK35" i="65"/>
  <c r="AJ35" i="65"/>
  <c r="AD35" i="65"/>
  <c r="AS35" i="65"/>
  <c r="AF35" i="65"/>
  <c r="AP35" i="65"/>
  <c r="AG33" i="62"/>
  <c r="AE33" i="62"/>
  <c r="AQ33" i="62"/>
  <c r="W20" i="62"/>
  <c r="AM52" i="59"/>
  <c r="AQ52" i="59"/>
  <c r="AR52" i="59"/>
  <c r="T31" i="56"/>
  <c r="Z31" i="56"/>
  <c r="W31" i="56"/>
  <c r="Q31" i="56"/>
  <c r="Q45" i="81"/>
  <c r="T45" i="81"/>
  <c r="Z45" i="81"/>
  <c r="AS50" i="81"/>
  <c r="AQ50" i="81"/>
  <c r="AK50" i="81"/>
  <c r="AV50" i="81"/>
  <c r="AF50" i="81"/>
  <c r="AN50" i="81"/>
  <c r="AR50" i="81"/>
  <c r="AD23" i="81"/>
  <c r="AO23" i="81"/>
  <c r="AK23" i="81"/>
  <c r="AM23" i="81"/>
  <c r="AR23" i="81"/>
  <c r="AN23" i="81"/>
  <c r="AF23" i="81"/>
  <c r="AJ23" i="81"/>
  <c r="AL23" i="81"/>
  <c r="AP23" i="81"/>
  <c r="AD49" i="47"/>
  <c r="AI49" i="47" s="1"/>
  <c r="AF49" i="47"/>
  <c r="AU49" i="47"/>
  <c r="AR49" i="47"/>
  <c r="AO49" i="47"/>
  <c r="AQ49" i="47"/>
  <c r="AN49" i="47"/>
  <c r="AQ51" i="47"/>
  <c r="AM51" i="47"/>
  <c r="AK51" i="47"/>
  <c r="AH51" i="47"/>
  <c r="AJ51" i="47"/>
  <c r="AE51" i="59"/>
  <c r="AR51" i="59"/>
  <c r="AJ51" i="59"/>
  <c r="AP51" i="59"/>
  <c r="AQ51" i="59"/>
  <c r="AU51" i="59"/>
  <c r="AS51" i="59"/>
  <c r="AL51" i="59"/>
  <c r="AH51" i="59"/>
  <c r="AG51" i="59"/>
  <c r="AG46" i="81"/>
  <c r="AM46" i="81"/>
  <c r="AK46" i="81"/>
  <c r="AH46" i="81"/>
  <c r="AS46" i="81"/>
  <c r="AD46" i="81"/>
  <c r="AL46" i="81"/>
  <c r="AP46" i="81"/>
  <c r="AO46" i="81"/>
  <c r="AJ46" i="81"/>
  <c r="AN46" i="81"/>
  <c r="AQ46" i="81"/>
  <c r="AF46" i="81"/>
  <c r="V6" i="69"/>
  <c r="F10" i="69"/>
  <c r="AH27" i="65"/>
  <c r="Q41" i="68"/>
  <c r="Z41" i="68"/>
  <c r="J30" i="71"/>
  <c r="K30" i="71"/>
  <c r="AC30" i="71" s="1"/>
  <c r="J40" i="71"/>
  <c r="K40" i="71"/>
  <c r="AG29" i="68"/>
  <c r="AV29" i="68"/>
  <c r="AG36" i="62"/>
  <c r="AO51" i="59"/>
  <c r="AU46" i="81"/>
  <c r="AJ41" i="68"/>
  <c r="AP41" i="68"/>
  <c r="AF41" i="68"/>
  <c r="AM41" i="68"/>
  <c r="AQ41" i="68"/>
  <c r="AS41" i="68"/>
  <c r="AG48" i="56"/>
  <c r="AP48" i="56"/>
  <c r="AQ29" i="47"/>
  <c r="AD29" i="47"/>
  <c r="AP29" i="47"/>
  <c r="AC50" i="71"/>
  <c r="T50" i="71"/>
  <c r="W50" i="71"/>
  <c r="Z50" i="71"/>
  <c r="Q50" i="71"/>
  <c r="AV52" i="71"/>
  <c r="AU52" i="71"/>
  <c r="AD45" i="68"/>
  <c r="AG45" i="68"/>
  <c r="AR47" i="65"/>
  <c r="T20" i="62"/>
  <c r="AO27" i="56"/>
  <c r="AN48" i="56"/>
  <c r="Z20" i="62"/>
  <c r="Z47" i="62"/>
  <c r="Q47" i="62"/>
  <c r="W47" i="62"/>
  <c r="AC47" i="62"/>
  <c r="Q52" i="59"/>
  <c r="Z52" i="59"/>
  <c r="AM33" i="81"/>
  <c r="AD33" i="81"/>
  <c r="AG33" i="81"/>
  <c r="AC41" i="68"/>
  <c r="Q52" i="71"/>
  <c r="AL31" i="68"/>
  <c r="T41" i="68"/>
  <c r="AE49" i="68"/>
  <c r="AF49" i="68"/>
  <c r="AQ49" i="68"/>
  <c r="AI23" i="59"/>
  <c r="T43" i="59"/>
  <c r="AM51" i="59"/>
  <c r="AL32" i="56"/>
  <c r="AO33" i="81"/>
  <c r="AF44" i="65"/>
  <c r="AO44" i="65"/>
  <c r="AR44" i="65"/>
  <c r="AN44" i="65"/>
  <c r="AL44" i="65"/>
  <c r="AE44" i="65"/>
  <c r="AK44" i="65"/>
  <c r="AQ44" i="65"/>
  <c r="AL47" i="65"/>
  <c r="Z44" i="62"/>
  <c r="W44" i="62"/>
  <c r="AP30" i="59"/>
  <c r="AK30" i="59"/>
  <c r="AF30" i="59"/>
  <c r="AO30" i="59"/>
  <c r="AS30" i="59"/>
  <c r="AH30" i="59"/>
  <c r="AV30" i="59"/>
  <c r="AM32" i="56"/>
  <c r="AD31" i="56"/>
  <c r="AF31" i="56"/>
  <c r="AS31" i="56"/>
  <c r="AE31" i="56"/>
  <c r="AS22" i="81"/>
  <c r="AM22" i="81"/>
  <c r="AL22" i="81"/>
  <c r="AN22" i="81"/>
  <c r="AQ22" i="81"/>
  <c r="W23" i="81"/>
  <c r="Z23" i="81"/>
  <c r="W35" i="81"/>
  <c r="Z35" i="81"/>
  <c r="Q35" i="81"/>
  <c r="AI48" i="59"/>
  <c r="AE20" i="59"/>
  <c r="AP46" i="62"/>
  <c r="AF46" i="62"/>
  <c r="J33" i="71"/>
  <c r="K33" i="71"/>
  <c r="AL30" i="47"/>
  <c r="AF30" i="47"/>
  <c r="AP34" i="68"/>
  <c r="AQ27" i="62"/>
  <c r="AK20" i="62"/>
  <c r="AO46" i="62"/>
  <c r="AN24" i="59"/>
  <c r="T30" i="59"/>
  <c r="AO21" i="59"/>
  <c r="AS21" i="59"/>
  <c r="AC49" i="56"/>
  <c r="AF36" i="56"/>
  <c r="AD39" i="56"/>
  <c r="AL39" i="56"/>
  <c r="AQ49" i="81"/>
  <c r="AS25" i="81"/>
  <c r="AU35" i="81"/>
  <c r="AS30" i="47"/>
  <c r="AS22" i="47"/>
  <c r="AE24" i="47"/>
  <c r="AE20" i="62"/>
  <c r="AN20" i="59"/>
  <c r="AK24" i="59"/>
  <c r="AR21" i="59"/>
  <c r="W49" i="56"/>
  <c r="AN30" i="47"/>
  <c r="AQ30" i="47"/>
  <c r="J43" i="71"/>
  <c r="K43" i="71"/>
  <c r="K49" i="71"/>
  <c r="J49" i="71"/>
  <c r="W27" i="62"/>
  <c r="AC27" i="62"/>
  <c r="T30" i="47"/>
  <c r="AC30" i="47"/>
  <c r="AJ50" i="47"/>
  <c r="AD50" i="47"/>
  <c r="AS50" i="47"/>
  <c r="AO50" i="47"/>
  <c r="AP50" i="47"/>
  <c r="AE50" i="47"/>
  <c r="AQ50" i="47"/>
  <c r="AH50" i="47"/>
  <c r="AM50" i="47"/>
  <c r="AR50" i="47"/>
  <c r="AF50" i="47"/>
  <c r="AG50" i="47"/>
  <c r="AN50" i="47"/>
  <c r="AL50" i="47"/>
  <c r="AP36" i="65"/>
  <c r="AJ36" i="65"/>
  <c r="AM36" i="65"/>
  <c r="AN36" i="65"/>
  <c r="AE27" i="62"/>
  <c r="AO27" i="62"/>
  <c r="AF27" i="62"/>
  <c r="AH27" i="62"/>
  <c r="AL27" i="62"/>
  <c r="AD27" i="62"/>
  <c r="AG27" i="62"/>
  <c r="Z25" i="71"/>
  <c r="AC25" i="71"/>
  <c r="Q25" i="71"/>
  <c r="Q18" i="68"/>
  <c r="AD18" i="68" s="1"/>
  <c r="AL52" i="65"/>
  <c r="AE22" i="65"/>
  <c r="AQ36" i="65"/>
  <c r="AS27" i="62"/>
  <c r="AH20" i="62"/>
  <c r="AJ46" i="62"/>
  <c r="AM46" i="62"/>
  <c r="AJ21" i="59"/>
  <c r="AL36" i="56"/>
  <c r="AQ39" i="56"/>
  <c r="AG49" i="81"/>
  <c r="AH49" i="81"/>
  <c r="AI47" i="81"/>
  <c r="AN35" i="81"/>
  <c r="AM30" i="47"/>
  <c r="AP30" i="47"/>
  <c r="T26" i="47"/>
  <c r="AV24" i="47"/>
  <c r="AP20" i="62"/>
  <c r="AQ21" i="59"/>
  <c r="AO49" i="56"/>
  <c r="AM49" i="56"/>
  <c r="AQ49" i="56"/>
  <c r="AR49" i="56"/>
  <c r="Z41" i="59"/>
  <c r="W41" i="59"/>
  <c r="AC41" i="59"/>
  <c r="AI50" i="56"/>
  <c r="AJ24" i="59"/>
  <c r="AR24" i="59"/>
  <c r="AF24" i="59"/>
  <c r="AL24" i="59"/>
  <c r="AU26" i="71"/>
  <c r="AV26" i="71"/>
  <c r="K22" i="71"/>
  <c r="T18" i="68"/>
  <c r="AE18" i="68" s="1"/>
  <c r="AR52" i="65"/>
  <c r="AL36" i="65"/>
  <c r="AR20" i="62"/>
  <c r="AK46" i="62"/>
  <c r="AI35" i="59"/>
  <c r="AF21" i="59"/>
  <c r="AI21" i="59" s="1"/>
  <c r="AF39" i="56"/>
  <c r="AM49" i="81"/>
  <c r="AQ35" i="81"/>
  <c r="AR30" i="47"/>
  <c r="W26" i="47"/>
  <c r="AC26" i="47"/>
  <c r="AH24" i="59"/>
  <c r="AI46" i="59"/>
  <c r="AK50" i="47"/>
  <c r="AI34" i="47"/>
  <c r="AG21" i="56"/>
  <c r="AF21" i="56"/>
  <c r="AD21" i="56"/>
  <c r="R60" i="71"/>
  <c r="AT60" i="71"/>
  <c r="W47" i="71"/>
  <c r="Z47" i="71"/>
  <c r="T47" i="71"/>
  <c r="AC47" i="71"/>
  <c r="Q47" i="71"/>
  <c r="J40" i="86"/>
  <c r="AI31" i="47"/>
  <c r="T27" i="47"/>
  <c r="AN29" i="47"/>
  <c r="AO27" i="47"/>
  <c r="AJ27" i="47"/>
  <c r="AK27" i="47"/>
  <c r="AE27" i="47"/>
  <c r="AS27" i="47"/>
  <c r="AP27" i="47"/>
  <c r="AI21" i="47"/>
  <c r="AN27" i="47"/>
  <c r="AC27" i="47"/>
  <c r="AR29" i="47"/>
  <c r="AS29" i="47"/>
  <c r="AJ24" i="47"/>
  <c r="AS24" i="47"/>
  <c r="AE49" i="47"/>
  <c r="AG49" i="47"/>
  <c r="AK49" i="47"/>
  <c r="AG51" i="47"/>
  <c r="AO51" i="47"/>
  <c r="AE51" i="47"/>
  <c r="Q47" i="47"/>
  <c r="W47" i="47"/>
  <c r="AC47" i="47"/>
  <c r="AV26" i="47"/>
  <c r="AH27" i="47"/>
  <c r="AR51" i="47"/>
  <c r="W27" i="47"/>
  <c r="AI44" i="47"/>
  <c r="AG29" i="47"/>
  <c r="AO29" i="47"/>
  <c r="Q31" i="47"/>
  <c r="AJ49" i="47"/>
  <c r="AK47" i="47"/>
  <c r="AL47" i="47"/>
  <c r="AN47" i="47"/>
  <c r="AE47" i="47"/>
  <c r="AH47" i="47"/>
  <c r="AG47" i="47"/>
  <c r="AJ47" i="47"/>
  <c r="AP47" i="47"/>
  <c r="AQ47" i="47"/>
  <c r="AR47" i="47"/>
  <c r="AM47" i="47"/>
  <c r="AF47" i="47"/>
  <c r="AO47" i="47"/>
  <c r="AD47" i="47"/>
  <c r="AS47" i="47"/>
  <c r="AG27" i="47"/>
  <c r="AO24" i="47"/>
  <c r="AD24" i="47"/>
  <c r="AP24" i="47"/>
  <c r="Z47" i="47"/>
  <c r="AF27" i="47"/>
  <c r="AD51" i="47"/>
  <c r="AE29" i="47"/>
  <c r="AH29" i="47"/>
  <c r="T23" i="47"/>
  <c r="AG24" i="47"/>
  <c r="AR24" i="47"/>
  <c r="AP49" i="47"/>
  <c r="AE26" i="47"/>
  <c r="AO26" i="47"/>
  <c r="AP26" i="47"/>
  <c r="AM26" i="47"/>
  <c r="AR26" i="47"/>
  <c r="AN26" i="47"/>
  <c r="AH26" i="47"/>
  <c r="AP35" i="47"/>
  <c r="AR35" i="47"/>
  <c r="AD35" i="47"/>
  <c r="AN35" i="47"/>
  <c r="AQ35" i="47"/>
  <c r="AJ35" i="47"/>
  <c r="Z45" i="47"/>
  <c r="AC45" i="47"/>
  <c r="Q45" i="47"/>
  <c r="W45" i="47"/>
  <c r="T45" i="47"/>
  <c r="AL29" i="47"/>
  <c r="AM29" i="47"/>
  <c r="W23" i="47"/>
  <c r="AJ29" i="47"/>
  <c r="AG45" i="47"/>
  <c r="AE45" i="47"/>
  <c r="AR45" i="47"/>
  <c r="AD45" i="47"/>
  <c r="AK45" i="47"/>
  <c r="AJ45" i="47"/>
  <c r="AM45" i="47"/>
  <c r="AL45" i="47"/>
  <c r="AN45" i="47"/>
  <c r="AF45" i="47"/>
  <c r="AQ45" i="47"/>
  <c r="AP45" i="47"/>
  <c r="AS45" i="47"/>
  <c r="AH45" i="47"/>
  <c r="AO45" i="47"/>
  <c r="Q29" i="47"/>
  <c r="T29" i="47"/>
  <c r="W29" i="47"/>
  <c r="Z29" i="47"/>
  <c r="AC29" i="47"/>
  <c r="AQ27" i="47"/>
  <c r="AL51" i="47"/>
  <c r="Z23" i="47"/>
  <c r="AK29" i="47"/>
  <c r="AF24" i="47"/>
  <c r="AH24" i="47"/>
  <c r="AH49" i="47"/>
  <c r="AS49" i="47"/>
  <c r="AV34" i="47"/>
  <c r="AU34" i="47"/>
  <c r="AQ22" i="47"/>
  <c r="AE22" i="47"/>
  <c r="AG22" i="47"/>
  <c r="AO22" i="47"/>
  <c r="AF22" i="47"/>
  <c r="AD22" i="47"/>
  <c r="AN22" i="47"/>
  <c r="AP22" i="47"/>
  <c r="AH22" i="47"/>
  <c r="AC35" i="47"/>
  <c r="T35" i="47"/>
  <c r="Z35" i="47"/>
  <c r="AI26" i="81"/>
  <c r="T35" i="81"/>
  <c r="O28" i="85"/>
  <c r="P28" i="85" s="1"/>
  <c r="X20" i="87"/>
  <c r="Y20" i="87" s="1"/>
  <c r="T23" i="81"/>
  <c r="AO51" i="81"/>
  <c r="AP51" i="81"/>
  <c r="AH51" i="81"/>
  <c r="AN51" i="81"/>
  <c r="AG51" i="81"/>
  <c r="J10" i="82"/>
  <c r="V14" i="82"/>
  <c r="AE51" i="81"/>
  <c r="AJ51" i="81"/>
  <c r="AV25" i="81"/>
  <c r="AN25" i="81"/>
  <c r="AQ25" i="81"/>
  <c r="AO35" i="81"/>
  <c r="AL35" i="81"/>
  <c r="AC35" i="81"/>
  <c r="AC19" i="81"/>
  <c r="Z19" i="81"/>
  <c r="AN33" i="81"/>
  <c r="AH33" i="81"/>
  <c r="L66" i="81"/>
  <c r="L69" i="81" s="1"/>
  <c r="AU51" i="81"/>
  <c r="AD25" i="81"/>
  <c r="AM51" i="81"/>
  <c r="AH35" i="81"/>
  <c r="AP50" i="81"/>
  <c r="Y16" i="86"/>
  <c r="Z16" i="86" s="1"/>
  <c r="S16" i="86" s="1"/>
  <c r="O41" i="85"/>
  <c r="P41" i="85" s="1"/>
  <c r="J41" i="85" s="1"/>
  <c r="AP33" i="81"/>
  <c r="AS33" i="81"/>
  <c r="AR22" i="81"/>
  <c r="AJ22" i="81"/>
  <c r="AE22" i="81"/>
  <c r="AO22" i="81"/>
  <c r="AP22" i="81"/>
  <c r="AD22" i="81"/>
  <c r="AK22" i="81"/>
  <c r="AG22" i="81"/>
  <c r="AV47" i="81"/>
  <c r="AU47" i="81"/>
  <c r="AI45" i="81"/>
  <c r="T19" i="81"/>
  <c r="AL51" i="81"/>
  <c r="AV33" i="81"/>
  <c r="AJ35" i="81"/>
  <c r="AF35" i="81"/>
  <c r="AJ25" i="81"/>
  <c r="AG35" i="81"/>
  <c r="AI35" i="81" s="1"/>
  <c r="AM35" i="81"/>
  <c r="AE50" i="81"/>
  <c r="AL50" i="81"/>
  <c r="Y28" i="86"/>
  <c r="Z28" i="86" s="1"/>
  <c r="S28" i="86" s="1"/>
  <c r="Y28" i="85"/>
  <c r="Z28" i="85" s="1"/>
  <c r="S28" i="85" s="1"/>
  <c r="Q23" i="81"/>
  <c r="AE33" i="81"/>
  <c r="AQ33" i="81"/>
  <c r="AF33" i="81"/>
  <c r="AD24" i="81"/>
  <c r="AJ24" i="81"/>
  <c r="AN24" i="81"/>
  <c r="AL24" i="81"/>
  <c r="AS24" i="81"/>
  <c r="AR24" i="81"/>
  <c r="AM24" i="81"/>
  <c r="AH24" i="81"/>
  <c r="AO24" i="81"/>
  <c r="AQ24" i="81"/>
  <c r="AK24" i="81"/>
  <c r="AP24" i="81"/>
  <c r="AE24" i="81"/>
  <c r="AF24" i="81"/>
  <c r="AG24" i="81"/>
  <c r="AV52" i="81"/>
  <c r="AU52" i="81"/>
  <c r="O28" i="86"/>
  <c r="P28" i="86" s="1"/>
  <c r="J28" i="86" s="1"/>
  <c r="AR33" i="81"/>
  <c r="AM25" i="81"/>
  <c r="AG25" i="81"/>
  <c r="AF25" i="81"/>
  <c r="AP25" i="81"/>
  <c r="AK51" i="81"/>
  <c r="AL25" i="81"/>
  <c r="AH25" i="81"/>
  <c r="AP35" i="81"/>
  <c r="AD50" i="81"/>
  <c r="AH50" i="81"/>
  <c r="W19" i="81"/>
  <c r="O16" i="85"/>
  <c r="P16" i="85" s="1"/>
  <c r="J16" i="85" s="1"/>
  <c r="AK33" i="81"/>
  <c r="AC24" i="81"/>
  <c r="Z24" i="81"/>
  <c r="W24" i="81"/>
  <c r="Q24" i="81"/>
  <c r="Q37" i="56"/>
  <c r="AC37" i="56"/>
  <c r="Z37" i="56"/>
  <c r="W37" i="56"/>
  <c r="AI19" i="56"/>
  <c r="AL48" i="56"/>
  <c r="AH48" i="56"/>
  <c r="AM48" i="56"/>
  <c r="AL31" i="56"/>
  <c r="AI45" i="56"/>
  <c r="AS48" i="56"/>
  <c r="AR48" i="56"/>
  <c r="AE48" i="56"/>
  <c r="AQ31" i="56"/>
  <c r="AU22" i="56"/>
  <c r="F10" i="57"/>
  <c r="U19" i="57"/>
  <c r="W51" i="56"/>
  <c r="Z51" i="56"/>
  <c r="Q51" i="56"/>
  <c r="T37" i="56"/>
  <c r="AI29" i="56"/>
  <c r="AU32" i="56"/>
  <c r="AV32" i="56"/>
  <c r="AO31" i="56"/>
  <c r="AG31" i="56"/>
  <c r="AF48" i="56"/>
  <c r="AR31" i="56"/>
  <c r="K14" i="84"/>
  <c r="AJ52" i="56"/>
  <c r="AM52" i="56"/>
  <c r="AL52" i="56"/>
  <c r="AS52" i="56"/>
  <c r="AO52" i="56"/>
  <c r="AE52" i="56"/>
  <c r="AR52" i="56"/>
  <c r="AN52" i="56"/>
  <c r="AF52" i="56"/>
  <c r="AD52" i="56"/>
  <c r="AG52" i="56"/>
  <c r="AK52" i="56"/>
  <c r="AQ52" i="56"/>
  <c r="AH52" i="56"/>
  <c r="AP52" i="56"/>
  <c r="AI35" i="56"/>
  <c r="AJ48" i="56"/>
  <c r="AV48" i="56"/>
  <c r="AP31" i="56"/>
  <c r="AH31" i="56"/>
  <c r="AV30" i="56"/>
  <c r="AH36" i="56"/>
  <c r="AO36" i="56"/>
  <c r="AJ36" i="56"/>
  <c r="AK36" i="56"/>
  <c r="AN36" i="56"/>
  <c r="AP36" i="56"/>
  <c r="M27" i="86"/>
  <c r="L27" i="86" s="1"/>
  <c r="K27" i="86" s="1"/>
  <c r="AP19" i="56"/>
  <c r="AJ19" i="56"/>
  <c r="M15" i="86"/>
  <c r="L15" i="86" s="1"/>
  <c r="K15" i="86" s="1"/>
  <c r="AM19" i="56"/>
  <c r="W40" i="85"/>
  <c r="V40" i="85" s="1"/>
  <c r="T40" i="85" s="1"/>
  <c r="AR19" i="56"/>
  <c r="AK39" i="56"/>
  <c r="AE39" i="56"/>
  <c r="I10" i="57"/>
  <c r="V12" i="57"/>
  <c r="AI25" i="56"/>
  <c r="AD48" i="56"/>
  <c r="AK48" i="56"/>
  <c r="AV31" i="56"/>
  <c r="AJ31" i="56"/>
  <c r="AE37" i="56"/>
  <c r="AH37" i="56"/>
  <c r="AQ37" i="56"/>
  <c r="AN37" i="56"/>
  <c r="AJ37" i="56"/>
  <c r="AP37" i="56"/>
  <c r="AK37" i="56"/>
  <c r="AS37" i="56"/>
  <c r="AL37" i="56"/>
  <c r="K14" i="87"/>
  <c r="S15" i="86"/>
  <c r="W23" i="59"/>
  <c r="AC23" i="59"/>
  <c r="T23" i="59"/>
  <c r="AN50" i="59"/>
  <c r="AD50" i="59"/>
  <c r="AF50" i="59"/>
  <c r="AQ50" i="59"/>
  <c r="AL50" i="59"/>
  <c r="AJ50" i="59"/>
  <c r="AK50" i="59"/>
  <c r="Q23" i="59"/>
  <c r="AF25" i="59"/>
  <c r="Q47" i="59"/>
  <c r="AI37" i="59"/>
  <c r="N65" i="59"/>
  <c r="N67" i="59" s="1"/>
  <c r="N71" i="59" s="1"/>
  <c r="AH20" i="59"/>
  <c r="AV46" i="59"/>
  <c r="AU46" i="59"/>
  <c r="AU40" i="59"/>
  <c r="AV40" i="59"/>
  <c r="AO20" i="59"/>
  <c r="T47" i="59"/>
  <c r="AF52" i="59"/>
  <c r="AI43" i="59"/>
  <c r="AP50" i="59"/>
  <c r="AD20" i="59"/>
  <c r="AI20" i="59" s="1"/>
  <c r="AF20" i="59"/>
  <c r="AL20" i="59"/>
  <c r="AR20" i="59"/>
  <c r="AS20" i="59"/>
  <c r="Z25" i="59"/>
  <c r="T25" i="59"/>
  <c r="W25" i="59"/>
  <c r="Z23" i="59"/>
  <c r="AI29" i="59"/>
  <c r="AP25" i="59"/>
  <c r="AJ25" i="59"/>
  <c r="AN25" i="59"/>
  <c r="AR25" i="59"/>
  <c r="AG20" i="59"/>
  <c r="AE25" i="59"/>
  <c r="AI25" i="59" s="1"/>
  <c r="W47" i="59"/>
  <c r="AR50" i="59"/>
  <c r="AQ20" i="59"/>
  <c r="AH25" i="59"/>
  <c r="AC47" i="59"/>
  <c r="AG50" i="59"/>
  <c r="AK20" i="59"/>
  <c r="AV23" i="59"/>
  <c r="AU23" i="59"/>
  <c r="AN30" i="59"/>
  <c r="AG30" i="59"/>
  <c r="AL30" i="59"/>
  <c r="AM30" i="59"/>
  <c r="W29" i="59"/>
  <c r="AC29" i="59"/>
  <c r="Z29" i="59"/>
  <c r="Q29" i="59"/>
  <c r="T29" i="59"/>
  <c r="L65" i="59"/>
  <c r="L67" i="59" s="1"/>
  <c r="L71" i="59" s="1"/>
  <c r="AJ20" i="59"/>
  <c r="AO52" i="59"/>
  <c r="AN52" i="59"/>
  <c r="AP52" i="59"/>
  <c r="AL52" i="59"/>
  <c r="AK52" i="59"/>
  <c r="AG52" i="59"/>
  <c r="AH52" i="59"/>
  <c r="AS52" i="59"/>
  <c r="AD52" i="59"/>
  <c r="AE52" i="59"/>
  <c r="K13" i="87"/>
  <c r="S14" i="86"/>
  <c r="AG25" i="59"/>
  <c r="AQ25" i="59"/>
  <c r="AJ52" i="59"/>
  <c r="AE50" i="59"/>
  <c r="O65" i="59"/>
  <c r="O67" i="59" s="1"/>
  <c r="O71" i="59" s="1"/>
  <c r="AV20" i="59"/>
  <c r="AM20" i="59"/>
  <c r="AK34" i="59"/>
  <c r="AL34" i="59"/>
  <c r="AE34" i="59"/>
  <c r="AI34" i="59" s="1"/>
  <c r="AD17" i="59"/>
  <c r="J14" i="85"/>
  <c r="J13" i="86"/>
  <c r="AV39" i="62"/>
  <c r="AR36" i="62"/>
  <c r="O38" i="86"/>
  <c r="P38" i="86" s="1"/>
  <c r="J38" i="86" s="1"/>
  <c r="Y38" i="86"/>
  <c r="Z38" i="86" s="1"/>
  <c r="S38" i="86" s="1"/>
  <c r="AH33" i="62"/>
  <c r="AM33" i="62"/>
  <c r="X14" i="84"/>
  <c r="Y14" i="84" s="1"/>
  <c r="K12" i="84" s="1"/>
  <c r="AL33" i="62"/>
  <c r="AJ33" i="62"/>
  <c r="AI30" i="62"/>
  <c r="Z35" i="62"/>
  <c r="Q35" i="62"/>
  <c r="AU40" i="62"/>
  <c r="AV40" i="62"/>
  <c r="AC51" i="62"/>
  <c r="Q51" i="62"/>
  <c r="T51" i="62"/>
  <c r="AU47" i="62"/>
  <c r="AV47" i="62"/>
  <c r="AD51" i="62"/>
  <c r="AQ51" i="62"/>
  <c r="AJ51" i="62"/>
  <c r="AO51" i="62"/>
  <c r="AR51" i="62"/>
  <c r="AG51" i="62"/>
  <c r="AS51" i="62"/>
  <c r="AF51" i="62"/>
  <c r="AN51" i="62"/>
  <c r="AE51" i="62"/>
  <c r="AP51" i="62"/>
  <c r="AK51" i="62"/>
  <c r="AU27" i="62"/>
  <c r="AV27" i="62"/>
  <c r="AL51" i="62"/>
  <c r="AQ36" i="62"/>
  <c r="AJ36" i="62"/>
  <c r="AH36" i="62"/>
  <c r="AO36" i="62"/>
  <c r="AM36" i="62"/>
  <c r="AE36" i="62"/>
  <c r="AD36" i="62"/>
  <c r="AF36" i="62"/>
  <c r="AK36" i="62"/>
  <c r="AD33" i="62"/>
  <c r="AU35" i="62"/>
  <c r="AP36" i="62"/>
  <c r="Q19" i="62"/>
  <c r="AD19" i="62" s="1"/>
  <c r="W19" i="62"/>
  <c r="AF19" i="62" s="1"/>
  <c r="T47" i="62"/>
  <c r="Q44" i="62"/>
  <c r="T44" i="62"/>
  <c r="AI38" i="62"/>
  <c r="Z36" i="62"/>
  <c r="T36" i="62"/>
  <c r="AP33" i="62"/>
  <c r="AF33" i="62"/>
  <c r="AO33" i="62"/>
  <c r="AK33" i="62"/>
  <c r="AC26" i="62"/>
  <c r="Q26" i="62"/>
  <c r="T26" i="62"/>
  <c r="AN36" i="62"/>
  <c r="O25" i="85"/>
  <c r="P25" i="85" s="1"/>
  <c r="J25" i="85" s="1"/>
  <c r="Y25" i="85"/>
  <c r="Z25" i="85" s="1"/>
  <c r="S25" i="85" s="1"/>
  <c r="AS33" i="62"/>
  <c r="AR33" i="62"/>
  <c r="AC35" i="65"/>
  <c r="T35" i="65"/>
  <c r="Q41" i="65"/>
  <c r="W41" i="65"/>
  <c r="AC41" i="65"/>
  <c r="Z41" i="65"/>
  <c r="T41" i="65"/>
  <c r="W22" i="65"/>
  <c r="Z22" i="65"/>
  <c r="AC22" i="65"/>
  <c r="T22" i="65"/>
  <c r="AG22" i="65"/>
  <c r="AH22" i="65"/>
  <c r="AK22" i="65"/>
  <c r="AJ22" i="65"/>
  <c r="AO22" i="65"/>
  <c r="AQ22" i="65"/>
  <c r="AM22" i="65"/>
  <c r="AN22" i="65"/>
  <c r="AS22" i="65"/>
  <c r="AF22" i="65"/>
  <c r="AD22" i="65"/>
  <c r="AI22" i="65" s="1"/>
  <c r="AL22" i="65"/>
  <c r="Q22" i="65"/>
  <c r="AI51" i="65"/>
  <c r="AM24" i="65"/>
  <c r="AD24" i="65"/>
  <c r="AE24" i="65"/>
  <c r="AL24" i="65"/>
  <c r="AP24" i="65"/>
  <c r="AS24" i="65"/>
  <c r="AN24" i="65"/>
  <c r="AG24" i="65"/>
  <c r="AO24" i="65"/>
  <c r="AR24" i="65"/>
  <c r="AJ24" i="65"/>
  <c r="AQ24" i="65"/>
  <c r="AK24" i="65"/>
  <c r="AF24" i="65"/>
  <c r="AH24" i="65"/>
  <c r="AI33" i="65"/>
  <c r="AD52" i="65"/>
  <c r="AH52" i="65"/>
  <c r="AQ52" i="65"/>
  <c r="AS52" i="65"/>
  <c r="AE52" i="65"/>
  <c r="AM52" i="65"/>
  <c r="AG52" i="65"/>
  <c r="Z24" i="65"/>
  <c r="W24" i="65"/>
  <c r="T24" i="65"/>
  <c r="Q24" i="65"/>
  <c r="AC24" i="65"/>
  <c r="AI43" i="65"/>
  <c r="AH25" i="65"/>
  <c r="AN25" i="65"/>
  <c r="AS18" i="65"/>
  <c r="T4" i="66"/>
  <c r="Z40" i="65"/>
  <c r="T40" i="65"/>
  <c r="AU33" i="65"/>
  <c r="AV33" i="65"/>
  <c r="AI28" i="65"/>
  <c r="AO38" i="65"/>
  <c r="AH38" i="65"/>
  <c r="AQ38" i="65"/>
  <c r="AM38" i="65"/>
  <c r="AN38" i="65"/>
  <c r="AJ38" i="65"/>
  <c r="AG38" i="65"/>
  <c r="Z25" i="65"/>
  <c r="T25" i="65"/>
  <c r="AC25" i="65"/>
  <c r="Q25" i="65"/>
  <c r="W25" i="65"/>
  <c r="AF38" i="65"/>
  <c r="Z35" i="65"/>
  <c r="AS38" i="65"/>
  <c r="W35" i="65"/>
  <c r="AV47" i="65"/>
  <c r="AM35" i="65"/>
  <c r="AQ35" i="65"/>
  <c r="U4" i="66"/>
  <c r="T18" i="65"/>
  <c r="AN29" i="68"/>
  <c r="AJ29" i="68"/>
  <c r="AL29" i="68"/>
  <c r="AU31" i="68"/>
  <c r="AN31" i="68"/>
  <c r="AC48" i="68"/>
  <c r="AM29" i="68"/>
  <c r="AK29" i="68"/>
  <c r="AK31" i="68"/>
  <c r="Z48" i="68"/>
  <c r="AL47" i="68"/>
  <c r="AC31" i="68"/>
  <c r="AS47" i="68"/>
  <c r="AR29" i="68"/>
  <c r="AM31" i="68"/>
  <c r="AP31" i="68"/>
  <c r="AC18" i="68"/>
  <c r="AH18" i="68" s="1"/>
  <c r="W48" i="68"/>
  <c r="AI27" i="68"/>
  <c r="AS29" i="68"/>
  <c r="T31" i="68"/>
  <c r="AD31" i="68"/>
  <c r="Q48" i="68"/>
  <c r="AQ29" i="68"/>
  <c r="AE31" i="68"/>
  <c r="AC47" i="68"/>
  <c r="AI48" i="68"/>
  <c r="AH29" i="68"/>
  <c r="AO31" i="68"/>
  <c r="AS31" i="68"/>
  <c r="Q31" i="68"/>
  <c r="AK41" i="68"/>
  <c r="AL41" i="68"/>
  <c r="AG41" i="68"/>
  <c r="AF17" i="68"/>
  <c r="W46" i="47"/>
  <c r="AC46" i="47"/>
  <c r="T46" i="47"/>
  <c r="Q46" i="47"/>
  <c r="Z46" i="47"/>
  <c r="AV21" i="47"/>
  <c r="AU21" i="47"/>
  <c r="W38" i="47"/>
  <c r="AC38" i="47"/>
  <c r="T38" i="47"/>
  <c r="Z38" i="47"/>
  <c r="Q38" i="47"/>
  <c r="O17" i="86"/>
  <c r="P17" i="86" s="1"/>
  <c r="Z19" i="47"/>
  <c r="Q19" i="47"/>
  <c r="Y42" i="85"/>
  <c r="Z42" i="85" s="1"/>
  <c r="X22" i="87"/>
  <c r="Y22" i="87" s="1"/>
  <c r="Y17" i="85"/>
  <c r="Z17" i="85" s="1"/>
  <c r="Y29" i="86"/>
  <c r="Z29" i="86" s="1"/>
  <c r="O42" i="85"/>
  <c r="P42" i="85" s="1"/>
  <c r="Y42" i="86"/>
  <c r="Z42" i="86" s="1"/>
  <c r="Y17" i="86"/>
  <c r="Z17" i="86" s="1"/>
  <c r="O42" i="86"/>
  <c r="P42" i="86" s="1"/>
  <c r="O29" i="86"/>
  <c r="P29" i="86" s="1"/>
  <c r="AC19" i="47"/>
  <c r="Y29" i="85"/>
  <c r="Z29" i="85" s="1"/>
  <c r="T19" i="47"/>
  <c r="X22" i="84"/>
  <c r="Y22" i="84" s="1"/>
  <c r="O29" i="85"/>
  <c r="P29" i="85" s="1"/>
  <c r="O17" i="85"/>
  <c r="P17" i="85" s="1"/>
  <c r="W19" i="47"/>
  <c r="Q48" i="47"/>
  <c r="T48" i="47"/>
  <c r="AC48" i="47"/>
  <c r="W48" i="47"/>
  <c r="Z48" i="47"/>
  <c r="AI23" i="47"/>
  <c r="Q42" i="47"/>
  <c r="AC42" i="47"/>
  <c r="W42" i="47"/>
  <c r="Z42" i="47"/>
  <c r="T42" i="47"/>
  <c r="AU44" i="47"/>
  <c r="AV44" i="47"/>
  <c r="AC36" i="47"/>
  <c r="W36" i="47"/>
  <c r="Q36" i="47"/>
  <c r="Z36" i="47"/>
  <c r="T36" i="47"/>
  <c r="AC18" i="47"/>
  <c r="T18" i="47"/>
  <c r="W18" i="47"/>
  <c r="Z18" i="47"/>
  <c r="Q18" i="47"/>
  <c r="AC32" i="47"/>
  <c r="Z32" i="47"/>
  <c r="T32" i="47"/>
  <c r="Q32" i="47"/>
  <c r="W32" i="47"/>
  <c r="Q25" i="47"/>
  <c r="W25" i="47"/>
  <c r="Z25" i="47"/>
  <c r="AC25" i="47"/>
  <c r="T25" i="47"/>
  <c r="AC43" i="47"/>
  <c r="Q43" i="47"/>
  <c r="T43" i="47"/>
  <c r="Z43" i="47"/>
  <c r="W43" i="47"/>
  <c r="AM48" i="47"/>
  <c r="AF48" i="47"/>
  <c r="AK48" i="47"/>
  <c r="AL48" i="47"/>
  <c r="AS48" i="47"/>
  <c r="AH48" i="47"/>
  <c r="AO48" i="47"/>
  <c r="AR48" i="47"/>
  <c r="AN48" i="47"/>
  <c r="AQ48" i="47"/>
  <c r="AD48" i="47"/>
  <c r="AJ48" i="47"/>
  <c r="AG48" i="47"/>
  <c r="AP48" i="47"/>
  <c r="AE48" i="47"/>
  <c r="Q41" i="47"/>
  <c r="W41" i="47"/>
  <c r="T41" i="47"/>
  <c r="Z41" i="47"/>
  <c r="AC41" i="47"/>
  <c r="AL42" i="47"/>
  <c r="AH42" i="47"/>
  <c r="AD42" i="47"/>
  <c r="AF42" i="47"/>
  <c r="AM42" i="47"/>
  <c r="AO42" i="47"/>
  <c r="AN42" i="47"/>
  <c r="AP42" i="47"/>
  <c r="AE42" i="47"/>
  <c r="AJ42" i="47"/>
  <c r="AK42" i="47"/>
  <c r="AQ42" i="47"/>
  <c r="AS42" i="47"/>
  <c r="AG42" i="47"/>
  <c r="AR42" i="47"/>
  <c r="Q21" i="47"/>
  <c r="AC21" i="47"/>
  <c r="W21" i="47"/>
  <c r="Z21" i="47"/>
  <c r="T21" i="47"/>
  <c r="AU31" i="47"/>
  <c r="AV31" i="47"/>
  <c r="AV23" i="47"/>
  <c r="AU23" i="47"/>
  <c r="AU35" i="47"/>
  <c r="AV35" i="47"/>
  <c r="T28" i="47"/>
  <c r="Z28" i="47"/>
  <c r="AC28" i="47"/>
  <c r="Q28" i="47"/>
  <c r="W28" i="47"/>
  <c r="W17" i="47"/>
  <c r="AC17" i="47"/>
  <c r="U4" i="54"/>
  <c r="Z17" i="47"/>
  <c r="AG17" i="47" s="1"/>
  <c r="Q17" i="47"/>
  <c r="AD17" i="47" s="1"/>
  <c r="T17" i="47"/>
  <c r="AE17" i="47" s="1"/>
  <c r="AD40" i="47"/>
  <c r="AO40" i="47"/>
  <c r="AK40" i="47"/>
  <c r="AF40" i="47"/>
  <c r="AM40" i="47"/>
  <c r="AQ40" i="47"/>
  <c r="AH40" i="47"/>
  <c r="AP40" i="47"/>
  <c r="AG40" i="47"/>
  <c r="AE40" i="47"/>
  <c r="AN40" i="47"/>
  <c r="AS40" i="47"/>
  <c r="AR40" i="47"/>
  <c r="AJ40" i="47"/>
  <c r="AL40" i="47"/>
  <c r="AV27" i="47"/>
  <c r="AU27" i="47"/>
  <c r="Z20" i="47"/>
  <c r="AC20" i="47"/>
  <c r="Q20" i="47"/>
  <c r="W20" i="47"/>
  <c r="T20" i="47"/>
  <c r="M29" i="86"/>
  <c r="L29" i="86" s="1"/>
  <c r="K29" i="86" s="1"/>
  <c r="W29" i="85"/>
  <c r="V29" i="85" s="1"/>
  <c r="T29" i="85" s="1"/>
  <c r="M42" i="85"/>
  <c r="L42" i="85" s="1"/>
  <c r="K42" i="85" s="1"/>
  <c r="AO19" i="47"/>
  <c r="W42" i="86"/>
  <c r="V42" i="86" s="1"/>
  <c r="T42" i="86" s="1"/>
  <c r="AQ19" i="47"/>
  <c r="W42" i="85"/>
  <c r="V42" i="85" s="1"/>
  <c r="T42" i="85" s="1"/>
  <c r="AG19" i="47"/>
  <c r="AE19" i="47"/>
  <c r="AP19" i="47"/>
  <c r="M29" i="85"/>
  <c r="L29" i="85" s="1"/>
  <c r="K29" i="85" s="1"/>
  <c r="AS19" i="47"/>
  <c r="W17" i="86"/>
  <c r="V17" i="86" s="1"/>
  <c r="T17" i="86" s="1"/>
  <c r="V22" i="84"/>
  <c r="M16" i="84" s="1"/>
  <c r="AJ19" i="47"/>
  <c r="AN19" i="47"/>
  <c r="AH19" i="47"/>
  <c r="M42" i="86"/>
  <c r="L42" i="86" s="1"/>
  <c r="K42" i="86" s="1"/>
  <c r="AR19" i="47"/>
  <c r="AD19" i="47"/>
  <c r="M17" i="85"/>
  <c r="L17" i="85" s="1"/>
  <c r="K17" i="85" s="1"/>
  <c r="W29" i="86"/>
  <c r="V29" i="86" s="1"/>
  <c r="T29" i="86" s="1"/>
  <c r="M17" i="86"/>
  <c r="L17" i="86" s="1"/>
  <c r="K17" i="86" s="1"/>
  <c r="AF19" i="47"/>
  <c r="AM19" i="47"/>
  <c r="V22" i="87"/>
  <c r="M16" i="87" s="1"/>
  <c r="W17" i="85"/>
  <c r="V17" i="85" s="1"/>
  <c r="T17" i="85" s="1"/>
  <c r="W40" i="47"/>
  <c r="AC40" i="47"/>
  <c r="Q40" i="47"/>
  <c r="T40" i="47"/>
  <c r="Z40" i="47"/>
  <c r="AO25" i="47"/>
  <c r="AK25" i="47"/>
  <c r="AH25" i="47"/>
  <c r="AN25" i="47"/>
  <c r="AJ25" i="47"/>
  <c r="AP25" i="47"/>
  <c r="AQ25" i="47"/>
  <c r="AR25" i="47"/>
  <c r="AE25" i="47"/>
  <c r="AS25" i="47"/>
  <c r="AG25" i="47"/>
  <c r="AD25" i="47"/>
  <c r="AF25" i="47"/>
  <c r="AM25" i="47"/>
  <c r="AL25" i="47"/>
  <c r="AN43" i="47"/>
  <c r="AR43" i="47"/>
  <c r="AO43" i="47"/>
  <c r="AL43" i="47"/>
  <c r="AG43" i="47"/>
  <c r="AS43" i="47"/>
  <c r="AM43" i="47"/>
  <c r="AH43" i="47"/>
  <c r="AE43" i="47"/>
  <c r="AK43" i="47"/>
  <c r="AJ43" i="47"/>
  <c r="AQ43" i="47"/>
  <c r="AF43" i="47"/>
  <c r="AP43" i="47"/>
  <c r="AD43" i="47"/>
  <c r="AP41" i="47"/>
  <c r="AD41" i="47"/>
  <c r="AM41" i="47"/>
  <c r="AO41" i="47"/>
  <c r="AN41" i="47"/>
  <c r="AH41" i="47"/>
  <c r="AK41" i="47"/>
  <c r="AF41" i="47"/>
  <c r="AS41" i="47"/>
  <c r="AR41" i="47"/>
  <c r="AL41" i="47"/>
  <c r="AE41" i="47"/>
  <c r="AQ41" i="47"/>
  <c r="AJ41" i="47"/>
  <c r="AG41" i="47"/>
  <c r="AO38" i="47"/>
  <c r="AK38" i="47"/>
  <c r="AJ38" i="47"/>
  <c r="AS38" i="47"/>
  <c r="AH38" i="47"/>
  <c r="AD38" i="47"/>
  <c r="AF38" i="47"/>
  <c r="AQ38" i="47"/>
  <c r="AP38" i="47"/>
  <c r="AE38" i="47"/>
  <c r="AL38" i="47"/>
  <c r="AM38" i="47"/>
  <c r="AG38" i="47"/>
  <c r="AN38" i="47"/>
  <c r="AR38" i="47"/>
  <c r="AI52" i="47"/>
  <c r="AS36" i="47"/>
  <c r="AH36" i="47"/>
  <c r="AK36" i="47"/>
  <c r="AM36" i="47"/>
  <c r="AO36" i="47"/>
  <c r="AN36" i="47"/>
  <c r="AD36" i="47"/>
  <c r="AG36" i="47"/>
  <c r="AR36" i="47"/>
  <c r="AJ36" i="47"/>
  <c r="AL36" i="47"/>
  <c r="AF36" i="47"/>
  <c r="AP36" i="47"/>
  <c r="AE36" i="47"/>
  <c r="AQ36" i="47"/>
  <c r="AG46" i="47"/>
  <c r="AR46" i="47"/>
  <c r="AJ46" i="47"/>
  <c r="AK46" i="47"/>
  <c r="AM46" i="47"/>
  <c r="AE46" i="47"/>
  <c r="AO46" i="47"/>
  <c r="AN46" i="47"/>
  <c r="AL46" i="47"/>
  <c r="AD46" i="47"/>
  <c r="AF46" i="47"/>
  <c r="AH46" i="47"/>
  <c r="AS46" i="47"/>
  <c r="AQ46" i="47"/>
  <c r="AP46" i="47"/>
  <c r="AO18" i="47"/>
  <c r="AF18" i="47"/>
  <c r="AJ18" i="47"/>
  <c r="AE18" i="47"/>
  <c r="AH18" i="47"/>
  <c r="AQ18" i="47"/>
  <c r="AP18" i="47"/>
  <c r="AG18" i="47"/>
  <c r="AK18" i="47"/>
  <c r="AR18" i="47"/>
  <c r="AD18" i="47"/>
  <c r="AS18" i="47"/>
  <c r="AN18" i="47"/>
  <c r="AK20" i="47"/>
  <c r="AO20" i="47"/>
  <c r="AL20" i="47"/>
  <c r="AG20" i="47"/>
  <c r="AH20" i="47"/>
  <c r="AP20" i="47"/>
  <c r="AE20" i="47"/>
  <c r="AR20" i="47"/>
  <c r="AQ20" i="47"/>
  <c r="AN20" i="47"/>
  <c r="AF20" i="47"/>
  <c r="AD20" i="47"/>
  <c r="AJ20" i="47"/>
  <c r="AS20" i="47"/>
  <c r="AM20" i="47"/>
  <c r="AI33" i="47"/>
  <c r="AV33" i="47"/>
  <c r="AU33" i="47"/>
  <c r="AE28" i="47"/>
  <c r="AF28" i="47"/>
  <c r="AN28" i="47"/>
  <c r="AH28" i="47"/>
  <c r="AQ28" i="47"/>
  <c r="AP28" i="47"/>
  <c r="AS28" i="47"/>
  <c r="AD28" i="47"/>
  <c r="AG28" i="47"/>
  <c r="AM28" i="47"/>
  <c r="AO28" i="47"/>
  <c r="AR28" i="47"/>
  <c r="AJ28" i="47"/>
  <c r="AK28" i="47"/>
  <c r="AL28" i="47"/>
  <c r="AM32" i="47"/>
  <c r="AK32" i="47"/>
  <c r="AQ32" i="47"/>
  <c r="AD32" i="47"/>
  <c r="AR32" i="47"/>
  <c r="AS32" i="47"/>
  <c r="AH32" i="47"/>
  <c r="AF32" i="47"/>
  <c r="AG32" i="47"/>
  <c r="AP32" i="47"/>
  <c r="AO32" i="47"/>
  <c r="AL32" i="47"/>
  <c r="AE32" i="47"/>
  <c r="AJ32" i="47"/>
  <c r="AN32" i="47"/>
  <c r="AK17" i="47"/>
  <c r="AP17" i="47"/>
  <c r="K10" i="54"/>
  <c r="L12" i="54" s="1"/>
  <c r="K12" i="54" s="1"/>
  <c r="AF17" i="47"/>
  <c r="AM17" i="47"/>
  <c r="AO17" i="47"/>
  <c r="AJ17" i="47"/>
  <c r="AR17" i="47"/>
  <c r="T4" i="54"/>
  <c r="L65" i="47"/>
  <c r="L67" i="47" s="1"/>
  <c r="L71" i="47" s="1"/>
  <c r="AQ17" i="47"/>
  <c r="AH17" i="47"/>
  <c r="N66" i="47"/>
  <c r="N69" i="47" s="1"/>
  <c r="M66" i="47"/>
  <c r="M69" i="47" s="1"/>
  <c r="O65" i="47"/>
  <c r="O67" i="47" s="1"/>
  <c r="O71" i="47" s="1"/>
  <c r="L66" i="47"/>
  <c r="L69" i="47" s="1"/>
  <c r="AS17" i="47"/>
  <c r="K65" i="47"/>
  <c r="K67" i="47" s="1"/>
  <c r="K71" i="47" s="1"/>
  <c r="M65" i="47"/>
  <c r="M67" i="47" s="1"/>
  <c r="M71" i="47" s="1"/>
  <c r="K66" i="47"/>
  <c r="K69" i="47" s="1"/>
  <c r="N65" i="47"/>
  <c r="N67" i="47" s="1"/>
  <c r="N71" i="47" s="1"/>
  <c r="AN17" i="47"/>
  <c r="O66" i="47"/>
  <c r="O69" i="47" s="1"/>
  <c r="AV49" i="47"/>
  <c r="O41" i="86"/>
  <c r="P41" i="86" s="1"/>
  <c r="J41" i="86" s="1"/>
  <c r="Q19" i="81"/>
  <c r="Y41" i="86"/>
  <c r="Z41" i="86" s="1"/>
  <c r="S41" i="86" s="1"/>
  <c r="X20" i="84"/>
  <c r="Y20" i="84" s="1"/>
  <c r="K15" i="84" s="1"/>
  <c r="J28" i="85"/>
  <c r="K15" i="87"/>
  <c r="J16" i="86"/>
  <c r="S16" i="85"/>
  <c r="V10" i="82"/>
  <c r="H10" i="82"/>
  <c r="AJ31" i="81"/>
  <c r="AO31" i="81"/>
  <c r="AL31" i="81"/>
  <c r="AG31" i="81"/>
  <c r="AH31" i="81"/>
  <c r="AD31" i="81"/>
  <c r="AE31" i="81"/>
  <c r="AP31" i="81"/>
  <c r="AR31" i="81"/>
  <c r="AQ31" i="81"/>
  <c r="AK31" i="81"/>
  <c r="AS31" i="81"/>
  <c r="AM31" i="81"/>
  <c r="AF31" i="81"/>
  <c r="AN31" i="81"/>
  <c r="Q43" i="81"/>
  <c r="T43" i="81"/>
  <c r="AC43" i="81"/>
  <c r="W43" i="81"/>
  <c r="Z43" i="81"/>
  <c r="AK48" i="81"/>
  <c r="AR48" i="81"/>
  <c r="AL48" i="81"/>
  <c r="AS48" i="81"/>
  <c r="AE48" i="81"/>
  <c r="AD48" i="81"/>
  <c r="AQ48" i="81"/>
  <c r="AH48" i="81"/>
  <c r="AO48" i="81"/>
  <c r="AF48" i="81"/>
  <c r="AN48" i="81"/>
  <c r="AJ48" i="81"/>
  <c r="AG48" i="81"/>
  <c r="AP48" i="81"/>
  <c r="AM48" i="81"/>
  <c r="AU34" i="81"/>
  <c r="AV34" i="81"/>
  <c r="N66" i="81"/>
  <c r="N69" i="81" s="1"/>
  <c r="AC42" i="81"/>
  <c r="Q42" i="81"/>
  <c r="T42" i="81"/>
  <c r="Z42" i="81"/>
  <c r="W42" i="81"/>
  <c r="W40" i="81"/>
  <c r="AC40" i="81"/>
  <c r="Z40" i="81"/>
  <c r="Q40" i="81"/>
  <c r="T40" i="81"/>
  <c r="AP39" i="81"/>
  <c r="AJ39" i="81"/>
  <c r="AE39" i="81"/>
  <c r="AS39" i="81"/>
  <c r="AH39" i="81"/>
  <c r="AQ39" i="81"/>
  <c r="AN39" i="81"/>
  <c r="AF39" i="81"/>
  <c r="AL39" i="81"/>
  <c r="AO39" i="81"/>
  <c r="AR39" i="81"/>
  <c r="AG39" i="81"/>
  <c r="AK39" i="81"/>
  <c r="AM39" i="81"/>
  <c r="AD39" i="81"/>
  <c r="AI44" i="81"/>
  <c r="Z29" i="81"/>
  <c r="AC29" i="81"/>
  <c r="W29" i="81"/>
  <c r="T29" i="81"/>
  <c r="Q29" i="81"/>
  <c r="AV35" i="81"/>
  <c r="AF37" i="81"/>
  <c r="AQ37" i="81"/>
  <c r="AR37" i="81"/>
  <c r="AM37" i="81"/>
  <c r="AS37" i="81"/>
  <c r="AK37" i="81"/>
  <c r="AO37" i="81"/>
  <c r="AJ37" i="81"/>
  <c r="AP37" i="81"/>
  <c r="AE37" i="81"/>
  <c r="AG37" i="81"/>
  <c r="AD37" i="81"/>
  <c r="AL37" i="81"/>
  <c r="AH37" i="81"/>
  <c r="AN37" i="81"/>
  <c r="AQ42" i="81"/>
  <c r="AO42" i="81"/>
  <c r="AH42" i="81"/>
  <c r="AE42" i="81"/>
  <c r="AR42" i="81"/>
  <c r="AD42" i="81"/>
  <c r="AF42" i="81"/>
  <c r="AM42" i="81"/>
  <c r="AP42" i="81"/>
  <c r="AJ42" i="81"/>
  <c r="AG42" i="81"/>
  <c r="AS42" i="81"/>
  <c r="AN42" i="81"/>
  <c r="AK42" i="81"/>
  <c r="AL42" i="81"/>
  <c r="S41" i="85"/>
  <c r="AS40" i="81"/>
  <c r="AN40" i="81"/>
  <c r="AO40" i="81"/>
  <c r="AK40" i="81"/>
  <c r="AR40" i="81"/>
  <c r="AQ40" i="81"/>
  <c r="AD40" i="81"/>
  <c r="AM40" i="81"/>
  <c r="AJ40" i="81"/>
  <c r="AG40" i="81"/>
  <c r="AF40" i="81"/>
  <c r="AL40" i="81"/>
  <c r="AE40" i="81"/>
  <c r="AP40" i="81"/>
  <c r="AH40" i="81"/>
  <c r="Q39" i="81"/>
  <c r="T39" i="81"/>
  <c r="AC39" i="81"/>
  <c r="W39" i="81"/>
  <c r="Z39" i="81"/>
  <c r="AI34" i="81"/>
  <c r="AI20" i="81"/>
  <c r="AI19" i="81"/>
  <c r="AD36" i="81"/>
  <c r="AF36" i="81"/>
  <c r="AN36" i="81"/>
  <c r="AS36" i="81"/>
  <c r="AH36" i="81"/>
  <c r="AE36" i="81"/>
  <c r="AR36" i="81"/>
  <c r="AG36" i="81"/>
  <c r="AL36" i="81"/>
  <c r="AM36" i="81"/>
  <c r="AK36" i="81"/>
  <c r="AQ36" i="81"/>
  <c r="AJ36" i="81"/>
  <c r="AO36" i="81"/>
  <c r="AP36" i="81"/>
  <c r="Q41" i="81"/>
  <c r="T41" i="81"/>
  <c r="Z41" i="81"/>
  <c r="W41" i="81"/>
  <c r="AC41" i="81"/>
  <c r="AM32" i="81"/>
  <c r="AJ32" i="81"/>
  <c r="AN32" i="81"/>
  <c r="AS32" i="81"/>
  <c r="AD32" i="81"/>
  <c r="AR32" i="81"/>
  <c r="AF32" i="81"/>
  <c r="AH32" i="81"/>
  <c r="AK32" i="81"/>
  <c r="AP32" i="81"/>
  <c r="AQ32" i="81"/>
  <c r="AG32" i="81"/>
  <c r="AL32" i="81"/>
  <c r="AO32" i="81"/>
  <c r="AE32" i="81"/>
  <c r="AF18" i="81"/>
  <c r="AE18" i="81"/>
  <c r="K10" i="82"/>
  <c r="L12" i="82" s="1"/>
  <c r="I12" i="82" s="1"/>
  <c r="AP18" i="81"/>
  <c r="AJ18" i="81"/>
  <c r="AN18" i="81"/>
  <c r="AO18" i="81"/>
  <c r="T4" i="82"/>
  <c r="AS18" i="81"/>
  <c r="AG18" i="81"/>
  <c r="AK18" i="81"/>
  <c r="N65" i="81"/>
  <c r="N67" i="81" s="1"/>
  <c r="N71" i="81" s="1"/>
  <c r="AR18" i="81"/>
  <c r="AH18" i="81"/>
  <c r="M65" i="81"/>
  <c r="M67" i="81" s="1"/>
  <c r="M71" i="81" s="1"/>
  <c r="AQ18" i="81"/>
  <c r="O65" i="81"/>
  <c r="O67" i="81" s="1"/>
  <c r="O71" i="81" s="1"/>
  <c r="AD18" i="81"/>
  <c r="K66" i="81"/>
  <c r="K69" i="81" s="1"/>
  <c r="AI27" i="81"/>
  <c r="V6" i="82"/>
  <c r="F10" i="82"/>
  <c r="AJ29" i="81"/>
  <c r="AM29" i="81"/>
  <c r="AH29" i="81"/>
  <c r="AR29" i="81"/>
  <c r="AP29" i="81"/>
  <c r="AL29" i="81"/>
  <c r="AD29" i="81"/>
  <c r="AO29" i="81"/>
  <c r="AG29" i="81"/>
  <c r="AS29" i="81"/>
  <c r="AE29" i="81"/>
  <c r="AK29" i="81"/>
  <c r="AN29" i="81"/>
  <c r="AQ29" i="81"/>
  <c r="AF29" i="81"/>
  <c r="W37" i="81"/>
  <c r="T37" i="81"/>
  <c r="AC37" i="81"/>
  <c r="Z37" i="81"/>
  <c r="Q37" i="81"/>
  <c r="AI30" i="81"/>
  <c r="AG21" i="81"/>
  <c r="AP21" i="81"/>
  <c r="AL21" i="81"/>
  <c r="AS21" i="81"/>
  <c r="AN21" i="81"/>
  <c r="AE21" i="81"/>
  <c r="AJ21" i="81"/>
  <c r="AH21" i="81"/>
  <c r="AK21" i="81"/>
  <c r="AO21" i="81"/>
  <c r="AD21" i="81"/>
  <c r="AQ21" i="81"/>
  <c r="AM21" i="81"/>
  <c r="AF21" i="81"/>
  <c r="AR21" i="81"/>
  <c r="AV30" i="81"/>
  <c r="AU30" i="81"/>
  <c r="AU20" i="81"/>
  <c r="AV20" i="81"/>
  <c r="L65" i="81"/>
  <c r="L67" i="81" s="1"/>
  <c r="L71" i="81" s="1"/>
  <c r="AI17" i="81"/>
  <c r="AU44" i="81"/>
  <c r="AV44" i="81"/>
  <c r="Z38" i="81"/>
  <c r="T38" i="81"/>
  <c r="W38" i="81"/>
  <c r="Q38" i="81"/>
  <c r="AC38" i="81"/>
  <c r="AV23" i="81"/>
  <c r="AU23" i="81"/>
  <c r="K65" i="81"/>
  <c r="K67" i="81" s="1"/>
  <c r="K71" i="81" s="1"/>
  <c r="V8" i="82"/>
  <c r="G10" i="82"/>
  <c r="W31" i="81"/>
  <c r="Z31" i="81"/>
  <c r="T31" i="81"/>
  <c r="AC31" i="81"/>
  <c r="Q31" i="81"/>
  <c r="M66" i="81"/>
  <c r="M69" i="81" s="1"/>
  <c r="AV49" i="81"/>
  <c r="AU45" i="81"/>
  <c r="AV45" i="81"/>
  <c r="AC36" i="81"/>
  <c r="Q36" i="81"/>
  <c r="W36" i="81"/>
  <c r="Z36" i="81"/>
  <c r="T36" i="81"/>
  <c r="AS41" i="81"/>
  <c r="AG41" i="81"/>
  <c r="AH41" i="81"/>
  <c r="AQ41" i="81"/>
  <c r="AN41" i="81"/>
  <c r="AO41" i="81"/>
  <c r="AD41" i="81"/>
  <c r="AK41" i="81"/>
  <c r="AF41" i="81"/>
  <c r="AL41" i="81"/>
  <c r="AP41" i="81"/>
  <c r="AM41" i="81"/>
  <c r="AE41" i="81"/>
  <c r="AR41" i="81"/>
  <c r="AJ41" i="81"/>
  <c r="O66" i="81"/>
  <c r="O69" i="81" s="1"/>
  <c r="U19" i="82"/>
  <c r="U20" i="82"/>
  <c r="AU43" i="81"/>
  <c r="AV43" i="81"/>
  <c r="AD38" i="81"/>
  <c r="AL38" i="81"/>
  <c r="AG38" i="81"/>
  <c r="AQ38" i="81"/>
  <c r="AJ38" i="81"/>
  <c r="AP38" i="81"/>
  <c r="AF38" i="81"/>
  <c r="AH38" i="81"/>
  <c r="AR38" i="81"/>
  <c r="AO38" i="81"/>
  <c r="AN38" i="81"/>
  <c r="AE38" i="81"/>
  <c r="AM38" i="81"/>
  <c r="AK38" i="81"/>
  <c r="AS38" i="81"/>
  <c r="AU50" i="81"/>
  <c r="S40" i="86"/>
  <c r="S15" i="85"/>
  <c r="S27" i="85"/>
  <c r="J15" i="85"/>
  <c r="J40" i="85"/>
  <c r="S27" i="86"/>
  <c r="AU19" i="56"/>
  <c r="T28" i="56"/>
  <c r="AC28" i="56"/>
  <c r="W28" i="56"/>
  <c r="Z28" i="56"/>
  <c r="Q28" i="56"/>
  <c r="AS41" i="56"/>
  <c r="AQ41" i="56"/>
  <c r="AM41" i="56"/>
  <c r="AF41" i="56"/>
  <c r="AR41" i="56"/>
  <c r="AK41" i="56"/>
  <c r="AP41" i="56"/>
  <c r="AJ41" i="56"/>
  <c r="AG41" i="56"/>
  <c r="AN41" i="56"/>
  <c r="AE41" i="56"/>
  <c r="AD41" i="56"/>
  <c r="AO41" i="56"/>
  <c r="AH41" i="56"/>
  <c r="AL41" i="56"/>
  <c r="Q17" i="56"/>
  <c r="AD17" i="56" s="1"/>
  <c r="W17" i="56"/>
  <c r="AF17" i="56" s="1"/>
  <c r="AC17" i="56"/>
  <c r="AH17" i="56" s="1"/>
  <c r="T17" i="56"/>
  <c r="AE17" i="56" s="1"/>
  <c r="Z17" i="56"/>
  <c r="AG17" i="56" s="1"/>
  <c r="AQ20" i="56"/>
  <c r="AO20" i="56"/>
  <c r="AJ20" i="56"/>
  <c r="AM20" i="56"/>
  <c r="AN20" i="56"/>
  <c r="AS20" i="56"/>
  <c r="AF20" i="56"/>
  <c r="AD20" i="56"/>
  <c r="AH20" i="56"/>
  <c r="AE20" i="56"/>
  <c r="AG20" i="56"/>
  <c r="AR20" i="56"/>
  <c r="AK20" i="56"/>
  <c r="AL20" i="56"/>
  <c r="AP20" i="56"/>
  <c r="Q46" i="56"/>
  <c r="W46" i="56"/>
  <c r="Z46" i="56"/>
  <c r="AC46" i="56"/>
  <c r="T46" i="56"/>
  <c r="AV29" i="56"/>
  <c r="AU29" i="56"/>
  <c r="AU27" i="56"/>
  <c r="AV27" i="56"/>
  <c r="T41" i="56"/>
  <c r="AC41" i="56"/>
  <c r="Q41" i="56"/>
  <c r="W41" i="56"/>
  <c r="Z41" i="56"/>
  <c r="AC34" i="56"/>
  <c r="Z34" i="56"/>
  <c r="W34" i="56"/>
  <c r="T34" i="56"/>
  <c r="Q34" i="56"/>
  <c r="W20" i="56"/>
  <c r="Q20" i="56"/>
  <c r="Z20" i="56"/>
  <c r="T20" i="56"/>
  <c r="AC20" i="56"/>
  <c r="AM46" i="56"/>
  <c r="AR46" i="56"/>
  <c r="AN46" i="56"/>
  <c r="AJ46" i="56"/>
  <c r="AG46" i="56"/>
  <c r="AF46" i="56"/>
  <c r="AS46" i="56"/>
  <c r="AO46" i="56"/>
  <c r="AD46" i="56"/>
  <c r="AH46" i="56"/>
  <c r="AE46" i="56"/>
  <c r="AL46" i="56"/>
  <c r="AP46" i="56"/>
  <c r="AQ46" i="56"/>
  <c r="AK46" i="56"/>
  <c r="AF42" i="56"/>
  <c r="AR42" i="56"/>
  <c r="AP42" i="56"/>
  <c r="AM42" i="56"/>
  <c r="AG42" i="56"/>
  <c r="AO42" i="56"/>
  <c r="AJ42" i="56"/>
  <c r="AK42" i="56"/>
  <c r="AS42" i="56"/>
  <c r="AL42" i="56"/>
  <c r="AH42" i="56"/>
  <c r="AQ42" i="56"/>
  <c r="AD42" i="56"/>
  <c r="AE42" i="56"/>
  <c r="AN42" i="56"/>
  <c r="T26" i="56"/>
  <c r="Z26" i="56"/>
  <c r="AC26" i="56"/>
  <c r="W26" i="56"/>
  <c r="Q26" i="56"/>
  <c r="AL34" i="56"/>
  <c r="AR34" i="56"/>
  <c r="AH34" i="56"/>
  <c r="AJ34" i="56"/>
  <c r="AE34" i="56"/>
  <c r="AQ34" i="56"/>
  <c r="AG34" i="56"/>
  <c r="AF34" i="56"/>
  <c r="AD34" i="56"/>
  <c r="AM34" i="56"/>
  <c r="AO34" i="56"/>
  <c r="AN34" i="56"/>
  <c r="AP34" i="56"/>
  <c r="AK34" i="56"/>
  <c r="AS34" i="56"/>
  <c r="AF26" i="56"/>
  <c r="AM26" i="56"/>
  <c r="AL26" i="56"/>
  <c r="AQ26" i="56"/>
  <c r="AO26" i="56"/>
  <c r="AR26" i="56"/>
  <c r="AD26" i="56"/>
  <c r="AS26" i="56"/>
  <c r="AG26" i="56"/>
  <c r="AJ26" i="56"/>
  <c r="AN26" i="56"/>
  <c r="AH26" i="56"/>
  <c r="AK26" i="56"/>
  <c r="AP26" i="56"/>
  <c r="AE26" i="56"/>
  <c r="AI30" i="56"/>
  <c r="AU36" i="56"/>
  <c r="AV36" i="56"/>
  <c r="AI28" i="56"/>
  <c r="AI43" i="56"/>
  <c r="AG38" i="56"/>
  <c r="AR38" i="56"/>
  <c r="AL38" i="56"/>
  <c r="AD38" i="56"/>
  <c r="AE38" i="56"/>
  <c r="AN38" i="56"/>
  <c r="AP38" i="56"/>
  <c r="AK38" i="56"/>
  <c r="AJ38" i="56"/>
  <c r="AQ38" i="56"/>
  <c r="AM38" i="56"/>
  <c r="AS38" i="56"/>
  <c r="AF38" i="56"/>
  <c r="AH38" i="56"/>
  <c r="AO38" i="56"/>
  <c r="AI24" i="56"/>
  <c r="AI37" i="56"/>
  <c r="AV35" i="56"/>
  <c r="AU35" i="56"/>
  <c r="AU44" i="56"/>
  <c r="AV44" i="56"/>
  <c r="AV49" i="56"/>
  <c r="AU49" i="56"/>
  <c r="W35" i="56"/>
  <c r="Q35" i="56"/>
  <c r="Z35" i="56"/>
  <c r="T35" i="56"/>
  <c r="AC35" i="56"/>
  <c r="AC45" i="56"/>
  <c r="Q45" i="56"/>
  <c r="T45" i="56"/>
  <c r="W45" i="56"/>
  <c r="Z45" i="56"/>
  <c r="AC40" i="56"/>
  <c r="Z40" i="56"/>
  <c r="W40" i="56"/>
  <c r="Q40" i="56"/>
  <c r="T40" i="56"/>
  <c r="AV45" i="56"/>
  <c r="AU45" i="56"/>
  <c r="AV28" i="56"/>
  <c r="AU28" i="56"/>
  <c r="H10" i="57"/>
  <c r="V10" i="57"/>
  <c r="Q22" i="56"/>
  <c r="T22" i="56"/>
  <c r="W22" i="56"/>
  <c r="AC22" i="56"/>
  <c r="Z22" i="56"/>
  <c r="AO17" i="56"/>
  <c r="AR17" i="56"/>
  <c r="AP17" i="56"/>
  <c r="M66" i="56"/>
  <c r="M69" i="56" s="1"/>
  <c r="L65" i="56"/>
  <c r="L67" i="56" s="1"/>
  <c r="L71" i="56" s="1"/>
  <c r="AM17" i="56"/>
  <c r="M65" i="56"/>
  <c r="M67" i="56" s="1"/>
  <c r="M71" i="56" s="1"/>
  <c r="O65" i="56"/>
  <c r="O67" i="56" s="1"/>
  <c r="O71" i="56" s="1"/>
  <c r="L66" i="56"/>
  <c r="L69" i="56" s="1"/>
  <c r="N65" i="56"/>
  <c r="N67" i="56" s="1"/>
  <c r="N71" i="56" s="1"/>
  <c r="O66" i="56"/>
  <c r="O69" i="56" s="1"/>
  <c r="AN17" i="56"/>
  <c r="AJ17" i="56"/>
  <c r="N66" i="56"/>
  <c r="N69" i="56" s="1"/>
  <c r="K66" i="56"/>
  <c r="K69" i="56" s="1"/>
  <c r="K65" i="56"/>
  <c r="K67" i="56" s="1"/>
  <c r="K71" i="56" s="1"/>
  <c r="AK17" i="56"/>
  <c r="AQ17" i="56"/>
  <c r="AS17" i="56"/>
  <c r="AE33" i="56"/>
  <c r="AG33" i="56"/>
  <c r="AL33" i="56"/>
  <c r="AJ33" i="56"/>
  <c r="AS33" i="56"/>
  <c r="AM33" i="56"/>
  <c r="AP33" i="56"/>
  <c r="AD33" i="56"/>
  <c r="AF33" i="56"/>
  <c r="AR33" i="56"/>
  <c r="AK33" i="56"/>
  <c r="AH33" i="56"/>
  <c r="AO33" i="56"/>
  <c r="AN33" i="56"/>
  <c r="AQ33" i="56"/>
  <c r="AI36" i="56"/>
  <c r="Q38" i="56"/>
  <c r="T38" i="56"/>
  <c r="Z38" i="56"/>
  <c r="W38" i="56"/>
  <c r="AC38" i="56"/>
  <c r="AV39" i="56"/>
  <c r="AU39" i="56"/>
  <c r="AJ40" i="56"/>
  <c r="AD40" i="56"/>
  <c r="AN40" i="56"/>
  <c r="AL40" i="56"/>
  <c r="AR40" i="56"/>
  <c r="AE40" i="56"/>
  <c r="AM40" i="56"/>
  <c r="AP40" i="56"/>
  <c r="AH40" i="56"/>
  <c r="AG40" i="56"/>
  <c r="AS40" i="56"/>
  <c r="AF40" i="56"/>
  <c r="AO40" i="56"/>
  <c r="AK40" i="56"/>
  <c r="AQ40" i="56"/>
  <c r="AP18" i="56"/>
  <c r="AR18" i="56"/>
  <c r="AD18" i="56"/>
  <c r="AG18" i="56"/>
  <c r="AO18" i="56"/>
  <c r="AE18" i="56"/>
  <c r="AS18" i="56"/>
  <c r="AK18" i="56"/>
  <c r="AN18" i="56"/>
  <c r="T4" i="57"/>
  <c r="AJ18" i="56"/>
  <c r="AQ18" i="56"/>
  <c r="AH18" i="56"/>
  <c r="AF18" i="56"/>
  <c r="K10" i="57"/>
  <c r="L12" i="57" s="1"/>
  <c r="G12" i="57" s="1"/>
  <c r="AI22" i="56"/>
  <c r="AI44" i="56"/>
  <c r="J10" i="57"/>
  <c r="V14" i="57"/>
  <c r="AE47" i="56"/>
  <c r="AD47" i="56"/>
  <c r="AS47" i="56"/>
  <c r="AG47" i="56"/>
  <c r="AL47" i="56"/>
  <c r="AR47" i="56"/>
  <c r="AH47" i="56"/>
  <c r="AO47" i="56"/>
  <c r="AF47" i="56"/>
  <c r="AM47" i="56"/>
  <c r="AQ47" i="56"/>
  <c r="AN47" i="56"/>
  <c r="AP47" i="56"/>
  <c r="AJ47" i="56"/>
  <c r="AK47" i="56"/>
  <c r="J39" i="86"/>
  <c r="K13" i="84"/>
  <c r="J14" i="86"/>
  <c r="J26" i="85"/>
  <c r="S26" i="85"/>
  <c r="J26" i="86"/>
  <c r="S39" i="85"/>
  <c r="S26" i="86"/>
  <c r="AU17" i="59"/>
  <c r="AU19" i="59"/>
  <c r="AV19" i="59" s="1"/>
  <c r="AI17" i="59"/>
  <c r="L66" i="59"/>
  <c r="L69" i="59" s="1"/>
  <c r="AQ32" i="59"/>
  <c r="AH32" i="59"/>
  <c r="AL32" i="59"/>
  <c r="AD32" i="59"/>
  <c r="AJ32" i="59"/>
  <c r="AR32" i="59"/>
  <c r="AK32" i="59"/>
  <c r="AP32" i="59"/>
  <c r="AM32" i="59"/>
  <c r="AE32" i="59"/>
  <c r="AO32" i="59"/>
  <c r="AG32" i="59"/>
  <c r="AS32" i="59"/>
  <c r="AN32" i="59"/>
  <c r="AF32" i="59"/>
  <c r="AI39" i="59"/>
  <c r="V8" i="60"/>
  <c r="G10" i="60"/>
  <c r="G12" i="60" s="1"/>
  <c r="AU28" i="59"/>
  <c r="AV28" i="59"/>
  <c r="O66" i="59"/>
  <c r="O69" i="59" s="1"/>
  <c r="AF27" i="59"/>
  <c r="AK27" i="59"/>
  <c r="AD27" i="59"/>
  <c r="AP27" i="59"/>
  <c r="AN27" i="59"/>
  <c r="AG27" i="59"/>
  <c r="AQ27" i="59"/>
  <c r="AM27" i="59"/>
  <c r="AJ27" i="59"/>
  <c r="AO27" i="59"/>
  <c r="AL27" i="59"/>
  <c r="AS27" i="59"/>
  <c r="AR27" i="59"/>
  <c r="AE27" i="59"/>
  <c r="AH27" i="59"/>
  <c r="W32" i="59"/>
  <c r="T32" i="59"/>
  <c r="Z32" i="59"/>
  <c r="AC32" i="59"/>
  <c r="Q32" i="59"/>
  <c r="AV39" i="59"/>
  <c r="AU39" i="59"/>
  <c r="AE49" i="59"/>
  <c r="AG49" i="59"/>
  <c r="AM49" i="59"/>
  <c r="AS49" i="59"/>
  <c r="AK49" i="59"/>
  <c r="AN49" i="59"/>
  <c r="AH49" i="59"/>
  <c r="AP49" i="59"/>
  <c r="AO49" i="59"/>
  <c r="AD49" i="59"/>
  <c r="AF49" i="59"/>
  <c r="AL49" i="59"/>
  <c r="AR49" i="59"/>
  <c r="AJ49" i="59"/>
  <c r="AQ49" i="59"/>
  <c r="J10" i="60"/>
  <c r="J12" i="60" s="1"/>
  <c r="V14" i="60"/>
  <c r="Q42" i="59"/>
  <c r="AC42" i="59"/>
  <c r="T42" i="59"/>
  <c r="W42" i="59"/>
  <c r="Z42" i="59"/>
  <c r="U20" i="60"/>
  <c r="U19" i="60"/>
  <c r="AU33" i="59"/>
  <c r="AV33" i="59"/>
  <c r="AI33" i="59"/>
  <c r="AV29" i="59"/>
  <c r="AU29" i="59"/>
  <c r="AC37" i="59"/>
  <c r="Q37" i="59"/>
  <c r="Z37" i="59"/>
  <c r="W37" i="59"/>
  <c r="T37" i="59"/>
  <c r="Z49" i="59"/>
  <c r="W49" i="59"/>
  <c r="Q49" i="59"/>
  <c r="T49" i="59"/>
  <c r="AC49" i="59"/>
  <c r="AF36" i="59"/>
  <c r="AR36" i="59"/>
  <c r="AH36" i="59"/>
  <c r="AS36" i="59"/>
  <c r="AD36" i="59"/>
  <c r="AN36" i="59"/>
  <c r="AL36" i="59"/>
  <c r="AP36" i="59"/>
  <c r="AE36" i="59"/>
  <c r="AG36" i="59"/>
  <c r="AQ36" i="59"/>
  <c r="AK36" i="59"/>
  <c r="AO36" i="59"/>
  <c r="AM36" i="59"/>
  <c r="AJ36" i="59"/>
  <c r="V10" i="60"/>
  <c r="H10" i="60"/>
  <c r="H12" i="60" s="1"/>
  <c r="AC44" i="59"/>
  <c r="W44" i="59"/>
  <c r="Q44" i="59"/>
  <c r="T44" i="59"/>
  <c r="Z44" i="59"/>
  <c r="S39" i="86"/>
  <c r="AU52" i="59"/>
  <c r="AV52" i="59"/>
  <c r="T31" i="59"/>
  <c r="AC31" i="59"/>
  <c r="W31" i="59"/>
  <c r="Q31" i="59"/>
  <c r="Z31" i="59"/>
  <c r="AV41" i="59"/>
  <c r="AU41" i="59"/>
  <c r="AH31" i="59"/>
  <c r="AD31" i="59"/>
  <c r="AE31" i="59"/>
  <c r="AM31" i="59"/>
  <c r="AF31" i="59"/>
  <c r="AG31" i="59"/>
  <c r="AL31" i="59"/>
  <c r="AO31" i="59"/>
  <c r="AR31" i="59"/>
  <c r="AK31" i="59"/>
  <c r="AS31" i="59"/>
  <c r="AJ31" i="59"/>
  <c r="AN31" i="59"/>
  <c r="AP31" i="59"/>
  <c r="AQ31" i="59"/>
  <c r="I10" i="60"/>
  <c r="I12" i="60" s="1"/>
  <c r="V12" i="60"/>
  <c r="AI19" i="59"/>
  <c r="AE42" i="59"/>
  <c r="AM42" i="59"/>
  <c r="AL42" i="59"/>
  <c r="AJ42" i="59"/>
  <c r="AP42" i="59"/>
  <c r="AS42" i="59"/>
  <c r="AD42" i="59"/>
  <c r="AH42" i="59"/>
  <c r="AO42" i="59"/>
  <c r="AN42" i="59"/>
  <c r="AK42" i="59"/>
  <c r="AQ42" i="59"/>
  <c r="AR42" i="59"/>
  <c r="AF42" i="59"/>
  <c r="AG42" i="59"/>
  <c r="T38" i="59"/>
  <c r="W38" i="59"/>
  <c r="Q38" i="59"/>
  <c r="Z38" i="59"/>
  <c r="AC38" i="59"/>
  <c r="AV24" i="59"/>
  <c r="AU24" i="59"/>
  <c r="AL26" i="59"/>
  <c r="AP26" i="59"/>
  <c r="AQ26" i="59"/>
  <c r="AE26" i="59"/>
  <c r="AJ26" i="59"/>
  <c r="AS26" i="59"/>
  <c r="AK26" i="59"/>
  <c r="AH26" i="59"/>
  <c r="AM26" i="59"/>
  <c r="AG26" i="59"/>
  <c r="AF26" i="59"/>
  <c r="AO26" i="59"/>
  <c r="AN26" i="59"/>
  <c r="AD26" i="59"/>
  <c r="AR26" i="59"/>
  <c r="M65" i="59"/>
  <c r="M67" i="59" s="1"/>
  <c r="M71" i="59" s="1"/>
  <c r="F12" i="60"/>
  <c r="AH18" i="59"/>
  <c r="Q22" i="59"/>
  <c r="Z22" i="59"/>
  <c r="W22" i="59"/>
  <c r="T22" i="59"/>
  <c r="AC22" i="59"/>
  <c r="AL44" i="59"/>
  <c r="AG44" i="59"/>
  <c r="AS44" i="59"/>
  <c r="AK44" i="59"/>
  <c r="AJ44" i="59"/>
  <c r="AQ44" i="59"/>
  <c r="AF44" i="59"/>
  <c r="AM44" i="59"/>
  <c r="AR44" i="59"/>
  <c r="AO44" i="59"/>
  <c r="AD44" i="59"/>
  <c r="AP44" i="59"/>
  <c r="AN44" i="59"/>
  <c r="AH44" i="59"/>
  <c r="AE44" i="59"/>
  <c r="AJ22" i="59"/>
  <c r="AF22" i="59"/>
  <c r="AK22" i="59"/>
  <c r="AG22" i="59"/>
  <c r="AP22" i="59"/>
  <c r="AO22" i="59"/>
  <c r="AS22" i="59"/>
  <c r="AR22" i="59"/>
  <c r="AH22" i="59"/>
  <c r="AL22" i="59"/>
  <c r="AE22" i="59"/>
  <c r="AD22" i="59"/>
  <c r="AN22" i="59"/>
  <c r="AQ22" i="59"/>
  <c r="N66" i="59"/>
  <c r="N69" i="59" s="1"/>
  <c r="AM22" i="59"/>
  <c r="AU34" i="59"/>
  <c r="AV34" i="59"/>
  <c r="AE18" i="59"/>
  <c r="AI18" i="59" s="1"/>
  <c r="AI47" i="59"/>
  <c r="AV47" i="59"/>
  <c r="AU47" i="59"/>
  <c r="Z36" i="59"/>
  <c r="T36" i="59"/>
  <c r="W36" i="59"/>
  <c r="Q36" i="59"/>
  <c r="AC36" i="59"/>
  <c r="AV43" i="59"/>
  <c r="AU43" i="59"/>
  <c r="AS38" i="59"/>
  <c r="AG38" i="59"/>
  <c r="AP38" i="59"/>
  <c r="AF38" i="59"/>
  <c r="AJ38" i="59"/>
  <c r="AN38" i="59"/>
  <c r="AQ38" i="59"/>
  <c r="AD38" i="59"/>
  <c r="AM38" i="59"/>
  <c r="AK38" i="59"/>
  <c r="AL38" i="59"/>
  <c r="AO38" i="59"/>
  <c r="AR38" i="59"/>
  <c r="AE38" i="59"/>
  <c r="AH38" i="59"/>
  <c r="W35" i="59"/>
  <c r="AC35" i="59"/>
  <c r="T35" i="59"/>
  <c r="Z35" i="59"/>
  <c r="Q35" i="59"/>
  <c r="AI40" i="59"/>
  <c r="W26" i="59"/>
  <c r="T26" i="59"/>
  <c r="Q26" i="59"/>
  <c r="Z26" i="59"/>
  <c r="AC26" i="59"/>
  <c r="M66" i="59"/>
  <c r="M69" i="59" s="1"/>
  <c r="K66" i="59"/>
  <c r="K69" i="59" s="1"/>
  <c r="K65" i="59"/>
  <c r="K67" i="59" s="1"/>
  <c r="K71" i="59" s="1"/>
  <c r="S14" i="85"/>
  <c r="S25" i="86"/>
  <c r="Y13" i="86"/>
  <c r="Z13" i="86" s="1"/>
  <c r="S13" i="86" s="1"/>
  <c r="Y13" i="85"/>
  <c r="Z13" i="85" s="1"/>
  <c r="S13" i="85" s="1"/>
  <c r="Y38" i="85"/>
  <c r="Z38" i="85" s="1"/>
  <c r="S38" i="85" s="1"/>
  <c r="O13" i="85"/>
  <c r="P13" i="85" s="1"/>
  <c r="J13" i="85" s="1"/>
  <c r="T19" i="62"/>
  <c r="AE19" i="62" s="1"/>
  <c r="X14" i="87"/>
  <c r="Y14" i="87" s="1"/>
  <c r="K12" i="87" s="1"/>
  <c r="Z19" i="62"/>
  <c r="AG19" i="62" s="1"/>
  <c r="J25" i="86"/>
  <c r="W29" i="62"/>
  <c r="AC29" i="62"/>
  <c r="Q29" i="62"/>
  <c r="Z29" i="62"/>
  <c r="T29" i="62"/>
  <c r="T50" i="62"/>
  <c r="Z50" i="62"/>
  <c r="W50" i="62"/>
  <c r="Q50" i="62"/>
  <c r="AC50" i="62"/>
  <c r="AU49" i="62"/>
  <c r="AV49" i="62"/>
  <c r="AU48" i="62"/>
  <c r="AV48" i="62"/>
  <c r="AG31" i="62"/>
  <c r="AM31" i="62"/>
  <c r="AP31" i="62"/>
  <c r="AO31" i="62"/>
  <c r="AE31" i="62"/>
  <c r="AD31" i="62"/>
  <c r="AJ31" i="62"/>
  <c r="AK31" i="62"/>
  <c r="AR31" i="62"/>
  <c r="AL31" i="62"/>
  <c r="AH31" i="62"/>
  <c r="AQ31" i="62"/>
  <c r="AN31" i="62"/>
  <c r="AS31" i="62"/>
  <c r="AF31" i="62"/>
  <c r="AE45" i="62"/>
  <c r="AP45" i="62"/>
  <c r="AK45" i="62"/>
  <c r="AG45" i="62"/>
  <c r="AD45" i="62"/>
  <c r="AN45" i="62"/>
  <c r="AM45" i="62"/>
  <c r="AJ45" i="62"/>
  <c r="AO45" i="62"/>
  <c r="AS45" i="62"/>
  <c r="AL45" i="62"/>
  <c r="AF45" i="62"/>
  <c r="AR45" i="62"/>
  <c r="AH45" i="62"/>
  <c r="AQ45" i="62"/>
  <c r="AL37" i="62"/>
  <c r="AG37" i="62"/>
  <c r="AJ37" i="62"/>
  <c r="AS37" i="62"/>
  <c r="AF37" i="62"/>
  <c r="AR37" i="62"/>
  <c r="AM37" i="62"/>
  <c r="AN37" i="62"/>
  <c r="AK37" i="62"/>
  <c r="AH37" i="62"/>
  <c r="AP37" i="62"/>
  <c r="AD37" i="62"/>
  <c r="AQ37" i="62"/>
  <c r="AE37" i="62"/>
  <c r="AO37" i="62"/>
  <c r="AP25" i="62"/>
  <c r="AF25" i="62"/>
  <c r="AL25" i="62"/>
  <c r="AJ25" i="62"/>
  <c r="AM25" i="62"/>
  <c r="AH25" i="62"/>
  <c r="AD25" i="62"/>
  <c r="AK25" i="62"/>
  <c r="AN25" i="62"/>
  <c r="AR25" i="62"/>
  <c r="AG25" i="62"/>
  <c r="AE25" i="62"/>
  <c r="AQ25" i="62"/>
  <c r="AS25" i="62"/>
  <c r="AO25" i="62"/>
  <c r="AC28" i="62"/>
  <c r="Q28" i="62"/>
  <c r="T28" i="62"/>
  <c r="Z28" i="62"/>
  <c r="W28" i="62"/>
  <c r="AR23" i="62"/>
  <c r="AH23" i="62"/>
  <c r="AL23" i="62"/>
  <c r="AS23" i="62"/>
  <c r="AG23" i="62"/>
  <c r="AQ23" i="62"/>
  <c r="AO23" i="62"/>
  <c r="AJ23" i="62"/>
  <c r="AM23" i="62"/>
  <c r="AP23" i="62"/>
  <c r="AD23" i="62"/>
  <c r="AF23" i="62"/>
  <c r="AK23" i="62"/>
  <c r="AN23" i="62"/>
  <c r="AE23" i="62"/>
  <c r="AC45" i="62"/>
  <c r="T45" i="62"/>
  <c r="Z45" i="62"/>
  <c r="W45" i="62"/>
  <c r="Q45" i="62"/>
  <c r="AC37" i="62"/>
  <c r="Q37" i="62"/>
  <c r="W37" i="62"/>
  <c r="T37" i="62"/>
  <c r="Z37" i="62"/>
  <c r="AU33" i="62"/>
  <c r="AV33" i="62"/>
  <c r="AU20" i="62"/>
  <c r="AV20" i="62"/>
  <c r="Z22" i="62"/>
  <c r="W22" i="62"/>
  <c r="Q22" i="62"/>
  <c r="T22" i="62"/>
  <c r="AC22" i="62"/>
  <c r="Q25" i="62"/>
  <c r="T25" i="62"/>
  <c r="W25" i="62"/>
  <c r="Z25" i="62"/>
  <c r="AC25" i="62"/>
  <c r="AQ28" i="62"/>
  <c r="AK28" i="62"/>
  <c r="AO28" i="62"/>
  <c r="AN28" i="62"/>
  <c r="AR28" i="62"/>
  <c r="AH28" i="62"/>
  <c r="AF28" i="62"/>
  <c r="AL28" i="62"/>
  <c r="AS28" i="62"/>
  <c r="AM28" i="62"/>
  <c r="AG28" i="62"/>
  <c r="AP28" i="62"/>
  <c r="AD28" i="62"/>
  <c r="AE28" i="62"/>
  <c r="AJ28" i="62"/>
  <c r="AQ42" i="62"/>
  <c r="AO42" i="62"/>
  <c r="AS42" i="62"/>
  <c r="AL42" i="62"/>
  <c r="AE42" i="62"/>
  <c r="AP42" i="62"/>
  <c r="AD42" i="62"/>
  <c r="AJ42" i="62"/>
  <c r="AN42" i="62"/>
  <c r="AM42" i="62"/>
  <c r="AK42" i="62"/>
  <c r="AH42" i="62"/>
  <c r="AR42" i="62"/>
  <c r="AF42" i="62"/>
  <c r="AG42" i="62"/>
  <c r="T18" i="62"/>
  <c r="U4" i="63"/>
  <c r="Q18" i="62"/>
  <c r="AD18" i="62" s="1"/>
  <c r="W18" i="62"/>
  <c r="AF18" i="62" s="1"/>
  <c r="AC18" i="62"/>
  <c r="AH18" i="62" s="1"/>
  <c r="Z18" i="62"/>
  <c r="AI48" i="62"/>
  <c r="AP17" i="62"/>
  <c r="AS17" i="62"/>
  <c r="AJ17" i="62"/>
  <c r="AM17" i="62"/>
  <c r="N66" i="62"/>
  <c r="N69" i="62" s="1"/>
  <c r="O66" i="62"/>
  <c r="O69" i="62" s="1"/>
  <c r="M66" i="62"/>
  <c r="M69" i="62" s="1"/>
  <c r="N65" i="62"/>
  <c r="N67" i="62" s="1"/>
  <c r="N71" i="62" s="1"/>
  <c r="K66" i="62"/>
  <c r="K69" i="62" s="1"/>
  <c r="AO17" i="62"/>
  <c r="AR17" i="62"/>
  <c r="AQ17" i="62"/>
  <c r="L65" i="62"/>
  <c r="L67" i="62" s="1"/>
  <c r="L71" i="62" s="1"/>
  <c r="AK17" i="62"/>
  <c r="L66" i="62"/>
  <c r="L69" i="62" s="1"/>
  <c r="O65" i="62"/>
  <c r="O67" i="62" s="1"/>
  <c r="O71" i="62" s="1"/>
  <c r="AN17" i="62"/>
  <c r="M65" i="62"/>
  <c r="M67" i="62" s="1"/>
  <c r="M71" i="62" s="1"/>
  <c r="K65" i="62"/>
  <c r="K67" i="62" s="1"/>
  <c r="K71" i="62" s="1"/>
  <c r="AU26" i="62"/>
  <c r="AV26" i="62"/>
  <c r="AI47" i="62"/>
  <c r="W23" i="62"/>
  <c r="Q23" i="62"/>
  <c r="Z23" i="62"/>
  <c r="T23" i="62"/>
  <c r="AC23" i="62"/>
  <c r="T41" i="62"/>
  <c r="W41" i="62"/>
  <c r="AC41" i="62"/>
  <c r="Z41" i="62"/>
  <c r="Q41" i="62"/>
  <c r="Q42" i="62"/>
  <c r="Z42" i="62"/>
  <c r="W42" i="62"/>
  <c r="T42" i="62"/>
  <c r="AC42" i="62"/>
  <c r="AS18" i="62"/>
  <c r="AO18" i="62"/>
  <c r="AP18" i="62"/>
  <c r="T4" i="63"/>
  <c r="AJ18" i="62"/>
  <c r="AN18" i="62"/>
  <c r="AK18" i="62"/>
  <c r="K10" i="63"/>
  <c r="L12" i="63" s="1"/>
  <c r="K12" i="63" s="1"/>
  <c r="AQ18" i="62"/>
  <c r="AR18" i="62"/>
  <c r="AV22" i="62"/>
  <c r="AU22" i="62"/>
  <c r="AJ41" i="62"/>
  <c r="AM41" i="62"/>
  <c r="AN41" i="62"/>
  <c r="AR41" i="62"/>
  <c r="AQ41" i="62"/>
  <c r="AS41" i="62"/>
  <c r="AE41" i="62"/>
  <c r="AG41" i="62"/>
  <c r="AL41" i="62"/>
  <c r="AO41" i="62"/>
  <c r="AP41" i="62"/>
  <c r="AH41" i="62"/>
  <c r="AF41" i="62"/>
  <c r="AK41" i="62"/>
  <c r="AD41" i="62"/>
  <c r="AI52" i="62"/>
  <c r="AV38" i="62"/>
  <c r="AU38" i="62"/>
  <c r="W34" i="62"/>
  <c r="AC34" i="62"/>
  <c r="Z34" i="62"/>
  <c r="T34" i="62"/>
  <c r="Q34" i="62"/>
  <c r="AD21" i="62"/>
  <c r="AP21" i="62"/>
  <c r="AN21" i="62"/>
  <c r="AL21" i="62"/>
  <c r="AS21" i="62"/>
  <c r="AK21" i="62"/>
  <c r="AH21" i="62"/>
  <c r="AQ21" i="62"/>
  <c r="AJ21" i="62"/>
  <c r="AO21" i="62"/>
  <c r="AF21" i="62"/>
  <c r="AR21" i="62"/>
  <c r="AM21" i="62"/>
  <c r="AE21" i="62"/>
  <c r="AG21" i="62"/>
  <c r="AV52" i="62"/>
  <c r="AU52" i="62"/>
  <c r="AC43" i="62"/>
  <c r="Z43" i="62"/>
  <c r="W43" i="62"/>
  <c r="T43" i="62"/>
  <c r="Q43" i="62"/>
  <c r="Q32" i="62"/>
  <c r="AC32" i="62"/>
  <c r="T32" i="62"/>
  <c r="W32" i="62"/>
  <c r="Z32" i="62"/>
  <c r="Z17" i="62"/>
  <c r="AG17" i="62" s="1"/>
  <c r="AC17" i="62"/>
  <c r="AH17" i="62" s="1"/>
  <c r="Q17" i="62"/>
  <c r="AD17" i="62" s="1"/>
  <c r="W17" i="62"/>
  <c r="AF17" i="62" s="1"/>
  <c r="T17" i="62"/>
  <c r="AE17" i="62" s="1"/>
  <c r="AV24" i="62"/>
  <c r="AU24" i="62"/>
  <c r="AJ29" i="62"/>
  <c r="AH29" i="62"/>
  <c r="AE29" i="62"/>
  <c r="AD29" i="62"/>
  <c r="AL29" i="62"/>
  <c r="AO29" i="62"/>
  <c r="AM29" i="62"/>
  <c r="AR29" i="62"/>
  <c r="AN29" i="62"/>
  <c r="AG29" i="62"/>
  <c r="AS29" i="62"/>
  <c r="AF29" i="62"/>
  <c r="AK29" i="62"/>
  <c r="AQ29" i="62"/>
  <c r="AP29" i="62"/>
  <c r="K13" i="85"/>
  <c r="T13" i="85"/>
  <c r="T49" i="62"/>
  <c r="AC49" i="62"/>
  <c r="Z49" i="62"/>
  <c r="W49" i="62"/>
  <c r="Q49" i="62"/>
  <c r="AV44" i="62"/>
  <c r="AU44" i="62"/>
  <c r="AI26" i="62"/>
  <c r="AK34" i="62"/>
  <c r="AF34" i="62"/>
  <c r="AS34" i="62"/>
  <c r="AH34" i="62"/>
  <c r="AJ34" i="62"/>
  <c r="AD34" i="62"/>
  <c r="AR34" i="62"/>
  <c r="AG34" i="62"/>
  <c r="AN34" i="62"/>
  <c r="AO34" i="62"/>
  <c r="AL34" i="62"/>
  <c r="AM34" i="62"/>
  <c r="AQ34" i="62"/>
  <c r="AE34" i="62"/>
  <c r="AP34" i="62"/>
  <c r="AF43" i="62"/>
  <c r="AG43" i="62"/>
  <c r="AD43" i="62"/>
  <c r="AL43" i="62"/>
  <c r="AO43" i="62"/>
  <c r="AJ43" i="62"/>
  <c r="AK43" i="62"/>
  <c r="AQ43" i="62"/>
  <c r="AP43" i="62"/>
  <c r="AS43" i="62"/>
  <c r="AE43" i="62"/>
  <c r="AH43" i="62"/>
  <c r="AR43" i="62"/>
  <c r="AM43" i="62"/>
  <c r="AN43" i="62"/>
  <c r="AU30" i="62"/>
  <c r="AV30" i="62"/>
  <c r="Z21" i="62"/>
  <c r="AC21" i="62"/>
  <c r="W21" i="62"/>
  <c r="T21" i="62"/>
  <c r="Q21" i="62"/>
  <c r="AD50" i="62"/>
  <c r="AP50" i="62"/>
  <c r="AH50" i="62"/>
  <c r="AF50" i="62"/>
  <c r="AL50" i="62"/>
  <c r="AE50" i="62"/>
  <c r="AN50" i="62"/>
  <c r="AK50" i="62"/>
  <c r="AR50" i="62"/>
  <c r="AS50" i="62"/>
  <c r="AQ50" i="62"/>
  <c r="AG50" i="62"/>
  <c r="AO50" i="62"/>
  <c r="AM50" i="62"/>
  <c r="AJ50" i="62"/>
  <c r="AN32" i="62"/>
  <c r="AG32" i="62"/>
  <c r="AR32" i="62"/>
  <c r="AP32" i="62"/>
  <c r="AS32" i="62"/>
  <c r="AM32" i="62"/>
  <c r="AK32" i="62"/>
  <c r="AO32" i="62"/>
  <c r="AH32" i="62"/>
  <c r="AJ32" i="62"/>
  <c r="AD32" i="62"/>
  <c r="AQ32" i="62"/>
  <c r="AL32" i="62"/>
  <c r="AF32" i="62"/>
  <c r="AE32" i="62"/>
  <c r="Q50" i="65"/>
  <c r="W50" i="65"/>
  <c r="AC50" i="65"/>
  <c r="Z50" i="65"/>
  <c r="T50" i="65"/>
  <c r="AI44" i="65"/>
  <c r="V12" i="66"/>
  <c r="I10" i="66"/>
  <c r="I12" i="66" s="1"/>
  <c r="AE42" i="65"/>
  <c r="AH42" i="65"/>
  <c r="AM42" i="65"/>
  <c r="AN42" i="65"/>
  <c r="AD42" i="65"/>
  <c r="AQ42" i="65"/>
  <c r="AL42" i="65"/>
  <c r="AO42" i="65"/>
  <c r="AR42" i="65"/>
  <c r="AP42" i="65"/>
  <c r="AF42" i="65"/>
  <c r="AG42" i="65"/>
  <c r="AK42" i="65"/>
  <c r="AS42" i="65"/>
  <c r="AJ42" i="65"/>
  <c r="AI30" i="65"/>
  <c r="AF31" i="65"/>
  <c r="AG31" i="65"/>
  <c r="AL31" i="65"/>
  <c r="AO31" i="65"/>
  <c r="AQ31" i="65"/>
  <c r="AR31" i="65"/>
  <c r="AD31" i="65"/>
  <c r="AN31" i="65"/>
  <c r="AP31" i="65"/>
  <c r="AK31" i="65"/>
  <c r="AM31" i="65"/>
  <c r="AS31" i="65"/>
  <c r="AE31" i="65"/>
  <c r="AH31" i="65"/>
  <c r="AJ31" i="65"/>
  <c r="W42" i="65"/>
  <c r="AC42" i="65"/>
  <c r="T42" i="65"/>
  <c r="Z42" i="65"/>
  <c r="Q42" i="65"/>
  <c r="AI36" i="65"/>
  <c r="W12" i="86"/>
  <c r="V12" i="86" s="1"/>
  <c r="T12" i="86" s="1"/>
  <c r="AO19" i="65"/>
  <c r="M37" i="86"/>
  <c r="L37" i="86" s="1"/>
  <c r="AN19" i="65"/>
  <c r="V12" i="84"/>
  <c r="M11" i="84" s="1"/>
  <c r="L11" i="84" s="1"/>
  <c r="M12" i="86"/>
  <c r="L12" i="86" s="1"/>
  <c r="K12" i="86" s="1"/>
  <c r="AP19" i="65"/>
  <c r="W24" i="86"/>
  <c r="V24" i="86" s="1"/>
  <c r="T24" i="86" s="1"/>
  <c r="AJ19" i="65"/>
  <c r="AR19" i="65"/>
  <c r="AQ19" i="65"/>
  <c r="W12" i="85"/>
  <c r="V12" i="85" s="1"/>
  <c r="T12" i="85" s="1"/>
  <c r="M24" i="86"/>
  <c r="L24" i="86" s="1"/>
  <c r="K24" i="86" s="1"/>
  <c r="W24" i="85"/>
  <c r="V24" i="85" s="1"/>
  <c r="T24" i="85" s="1"/>
  <c r="AM19" i="65"/>
  <c r="M24" i="85"/>
  <c r="L24" i="85" s="1"/>
  <c r="K24" i="85" s="1"/>
  <c r="M12" i="85"/>
  <c r="L12" i="85" s="1"/>
  <c r="K12" i="85" s="1"/>
  <c r="AH19" i="65"/>
  <c r="AF19" i="65"/>
  <c r="AS19" i="65"/>
  <c r="V12" i="87"/>
  <c r="M11" i="87" s="1"/>
  <c r="L11" i="87" s="1"/>
  <c r="M37" i="85"/>
  <c r="L37" i="85" s="1"/>
  <c r="K37" i="85" s="1"/>
  <c r="AE19" i="65"/>
  <c r="AG19" i="65"/>
  <c r="W37" i="86"/>
  <c r="V37" i="86" s="1"/>
  <c r="T37" i="86" s="1"/>
  <c r="AD19" i="65"/>
  <c r="W37" i="85"/>
  <c r="V37" i="85" s="1"/>
  <c r="T37" i="85" s="1"/>
  <c r="W46" i="65"/>
  <c r="T46" i="65"/>
  <c r="AC46" i="65"/>
  <c r="Z46" i="65"/>
  <c r="Q46" i="65"/>
  <c r="T30" i="65"/>
  <c r="W30" i="65"/>
  <c r="Z30" i="65"/>
  <c r="AC30" i="65"/>
  <c r="Q30" i="65"/>
  <c r="AV30" i="65"/>
  <c r="AU30" i="65"/>
  <c r="Q34" i="65"/>
  <c r="W34" i="65"/>
  <c r="Z34" i="65"/>
  <c r="T34" i="65"/>
  <c r="AC34" i="65"/>
  <c r="AU49" i="65"/>
  <c r="AV49" i="65"/>
  <c r="AK26" i="65"/>
  <c r="AO26" i="65"/>
  <c r="AQ26" i="65"/>
  <c r="AE26" i="65"/>
  <c r="AD26" i="65"/>
  <c r="AF26" i="65"/>
  <c r="AP26" i="65"/>
  <c r="AG26" i="65"/>
  <c r="AL26" i="65"/>
  <c r="AR26" i="65"/>
  <c r="AS26" i="65"/>
  <c r="AJ26" i="65"/>
  <c r="AH26" i="65"/>
  <c r="AM26" i="65"/>
  <c r="AN26" i="65"/>
  <c r="AU23" i="65"/>
  <c r="AV23" i="65"/>
  <c r="AS34" i="65"/>
  <c r="AK34" i="65"/>
  <c r="AQ34" i="65"/>
  <c r="AE34" i="65"/>
  <c r="AF34" i="65"/>
  <c r="AD34" i="65"/>
  <c r="AN34" i="65"/>
  <c r="AL34" i="65"/>
  <c r="AM34" i="65"/>
  <c r="AR34" i="65"/>
  <c r="AG34" i="65"/>
  <c r="AJ34" i="65"/>
  <c r="AO34" i="65"/>
  <c r="AP34" i="65"/>
  <c r="AH34" i="65"/>
  <c r="AG21" i="65"/>
  <c r="AL21" i="65"/>
  <c r="AN21" i="65"/>
  <c r="AD21" i="65"/>
  <c r="AH21" i="65"/>
  <c r="AS21" i="65"/>
  <c r="AO21" i="65"/>
  <c r="AR21" i="65"/>
  <c r="AQ21" i="65"/>
  <c r="AJ21" i="65"/>
  <c r="AF21" i="65"/>
  <c r="AE21" i="65"/>
  <c r="AP21" i="65"/>
  <c r="AK21" i="65"/>
  <c r="AM21" i="65"/>
  <c r="AC17" i="65"/>
  <c r="Q17" i="65"/>
  <c r="T17" i="65"/>
  <c r="AE17" i="65" s="1"/>
  <c r="W17" i="65"/>
  <c r="AF17" i="65" s="1"/>
  <c r="Z17" i="65"/>
  <c r="AG17" i="65" s="1"/>
  <c r="AV20" i="65"/>
  <c r="AU20" i="65"/>
  <c r="AG39" i="65"/>
  <c r="AQ39" i="65"/>
  <c r="AL39" i="65"/>
  <c r="AD39" i="65"/>
  <c r="AF39" i="65"/>
  <c r="AE39" i="65"/>
  <c r="AP39" i="65"/>
  <c r="AJ39" i="65"/>
  <c r="AH39" i="65"/>
  <c r="AK39" i="65"/>
  <c r="AS39" i="65"/>
  <c r="AM39" i="65"/>
  <c r="AR39" i="65"/>
  <c r="AO39" i="65"/>
  <c r="AN39" i="65"/>
  <c r="AI41" i="65"/>
  <c r="AE46" i="65"/>
  <c r="AF46" i="65"/>
  <c r="AG46" i="65"/>
  <c r="AS46" i="65"/>
  <c r="AR46" i="65"/>
  <c r="AD46" i="65"/>
  <c r="AQ46" i="65"/>
  <c r="AL46" i="65"/>
  <c r="AH46" i="65"/>
  <c r="AJ46" i="65"/>
  <c r="AP46" i="65"/>
  <c r="AK46" i="65"/>
  <c r="AN46" i="65"/>
  <c r="AM46" i="65"/>
  <c r="AO46" i="65"/>
  <c r="Q23" i="65"/>
  <c r="Z23" i="65"/>
  <c r="AC23" i="65"/>
  <c r="T23" i="65"/>
  <c r="W23" i="65"/>
  <c r="Q31" i="65"/>
  <c r="T31" i="65"/>
  <c r="AC31" i="65"/>
  <c r="W31" i="65"/>
  <c r="Z31" i="65"/>
  <c r="AQ45" i="65"/>
  <c r="AH45" i="65"/>
  <c r="AF45" i="65"/>
  <c r="AR45" i="65"/>
  <c r="AD45" i="65"/>
  <c r="AL45" i="65"/>
  <c r="AS45" i="65"/>
  <c r="AG45" i="65"/>
  <c r="AP45" i="65"/>
  <c r="AE45" i="65"/>
  <c r="AK45" i="65"/>
  <c r="AM45" i="65"/>
  <c r="AJ45" i="65"/>
  <c r="AN45" i="65"/>
  <c r="AO45" i="65"/>
  <c r="AF29" i="65"/>
  <c r="AH29" i="65"/>
  <c r="AQ29" i="65"/>
  <c r="AN29" i="65"/>
  <c r="AS29" i="65"/>
  <c r="AL29" i="65"/>
  <c r="AR29" i="65"/>
  <c r="AM29" i="65"/>
  <c r="AP29" i="65"/>
  <c r="AJ29" i="65"/>
  <c r="AK29" i="65"/>
  <c r="AO29" i="65"/>
  <c r="AD29" i="65"/>
  <c r="AG29" i="65"/>
  <c r="AE29" i="65"/>
  <c r="AU38" i="65"/>
  <c r="AV38" i="65"/>
  <c r="AI25" i="65"/>
  <c r="Z26" i="65"/>
  <c r="T26" i="65"/>
  <c r="Q26" i="65"/>
  <c r="AC26" i="65"/>
  <c r="W26" i="65"/>
  <c r="AI20" i="65"/>
  <c r="AV32" i="65"/>
  <c r="AU32" i="65"/>
  <c r="T45" i="65"/>
  <c r="AC45" i="65"/>
  <c r="W45" i="65"/>
  <c r="Q45" i="65"/>
  <c r="Z45" i="65"/>
  <c r="AC29" i="65"/>
  <c r="W29" i="65"/>
  <c r="Q29" i="65"/>
  <c r="T29" i="65"/>
  <c r="Z29" i="65"/>
  <c r="H10" i="66"/>
  <c r="H12" i="66" s="1"/>
  <c r="V10" i="66"/>
  <c r="AV25" i="65"/>
  <c r="AU25" i="65"/>
  <c r="AV51" i="65"/>
  <c r="AU51" i="65"/>
  <c r="AV37" i="65"/>
  <c r="AU37" i="65"/>
  <c r="Q32" i="65"/>
  <c r="Z32" i="65"/>
  <c r="T32" i="65"/>
  <c r="AC32" i="65"/>
  <c r="W32" i="65"/>
  <c r="J10" i="66"/>
  <c r="J12" i="66" s="1"/>
  <c r="V14" i="66"/>
  <c r="AH18" i="65"/>
  <c r="T39" i="65"/>
  <c r="W39" i="65"/>
  <c r="AC39" i="65"/>
  <c r="Q39" i="65"/>
  <c r="Z39" i="65"/>
  <c r="AU36" i="65"/>
  <c r="AV36" i="65"/>
  <c r="Q51" i="65"/>
  <c r="Z51" i="65"/>
  <c r="W51" i="65"/>
  <c r="AC51" i="65"/>
  <c r="T51" i="65"/>
  <c r="AU41" i="65"/>
  <c r="AV41" i="65"/>
  <c r="AS17" i="65"/>
  <c r="AR17" i="65"/>
  <c r="AJ17" i="65"/>
  <c r="AM17" i="65"/>
  <c r="L66" i="65"/>
  <c r="L69" i="65" s="1"/>
  <c r="O66" i="65"/>
  <c r="O69" i="65" s="1"/>
  <c r="L65" i="65"/>
  <c r="L67" i="65" s="1"/>
  <c r="L71" i="65" s="1"/>
  <c r="AP17" i="65"/>
  <c r="AH17" i="65"/>
  <c r="M66" i="65"/>
  <c r="M69" i="65" s="1"/>
  <c r="AQ17" i="65"/>
  <c r="AD17" i="65"/>
  <c r="K66" i="65"/>
  <c r="K69" i="65" s="1"/>
  <c r="M65" i="65"/>
  <c r="M67" i="65" s="1"/>
  <c r="M71" i="65" s="1"/>
  <c r="AO17" i="65"/>
  <c r="AK17" i="65"/>
  <c r="N66" i="65"/>
  <c r="N69" i="65" s="1"/>
  <c r="N65" i="65"/>
  <c r="N67" i="65" s="1"/>
  <c r="N71" i="65" s="1"/>
  <c r="AN17" i="65"/>
  <c r="O65" i="65"/>
  <c r="O67" i="65" s="1"/>
  <c r="O71" i="65" s="1"/>
  <c r="K65" i="65"/>
  <c r="K67" i="65" s="1"/>
  <c r="K71" i="65" s="1"/>
  <c r="AK50" i="65"/>
  <c r="AL50" i="65"/>
  <c r="AS50" i="65"/>
  <c r="AD50" i="65"/>
  <c r="AP50" i="65"/>
  <c r="AQ50" i="65"/>
  <c r="AE50" i="65"/>
  <c r="AH50" i="65"/>
  <c r="AR50" i="65"/>
  <c r="AG50" i="65"/>
  <c r="AF50" i="65"/>
  <c r="AN50" i="65"/>
  <c r="AM50" i="65"/>
  <c r="AJ50" i="65"/>
  <c r="AO50" i="65"/>
  <c r="F10" i="66"/>
  <c r="F12" i="66" s="1"/>
  <c r="V6" i="66"/>
  <c r="AD18" i="65"/>
  <c r="AI23" i="65"/>
  <c r="AI32" i="65"/>
  <c r="AK32" i="68"/>
  <c r="AH34" i="68"/>
  <c r="AO49" i="68"/>
  <c r="Z52" i="68"/>
  <c r="AM32" i="68"/>
  <c r="AP49" i="68"/>
  <c r="AG34" i="68"/>
  <c r="AR34" i="68"/>
  <c r="AR49" i="68"/>
  <c r="AV49" i="68"/>
  <c r="T27" i="68"/>
  <c r="AC27" i="68"/>
  <c r="AK17" i="68"/>
  <c r="Z27" i="68"/>
  <c r="AV34" i="68"/>
  <c r="AG49" i="68"/>
  <c r="Q27" i="68"/>
  <c r="T29" i="68"/>
  <c r="AO32" i="68"/>
  <c r="AU47" i="68"/>
  <c r="AQ34" i="68"/>
  <c r="AE34" i="68"/>
  <c r="AM49" i="68"/>
  <c r="AJ31" i="68"/>
  <c r="AQ31" i="68"/>
  <c r="AG31" i="68"/>
  <c r="AR31" i="68"/>
  <c r="AS45" i="68"/>
  <c r="AQ17" i="68"/>
  <c r="AJ32" i="68"/>
  <c r="Z29" i="68"/>
  <c r="AR32" i="68"/>
  <c r="AM34" i="68"/>
  <c r="AS49" i="68"/>
  <c r="AQ47" i="68"/>
  <c r="AM47" i="68"/>
  <c r="AK47" i="68"/>
  <c r="AE17" i="68"/>
  <c r="AH17" i="68"/>
  <c r="AH49" i="68"/>
  <c r="AO34" i="68"/>
  <c r="AD49" i="68"/>
  <c r="Z47" i="68"/>
  <c r="W47" i="68"/>
  <c r="AI38" i="68"/>
  <c r="AM45" i="68"/>
  <c r="Q28" i="68"/>
  <c r="AJ45" i="68"/>
  <c r="W28" i="68"/>
  <c r="AC26" i="68"/>
  <c r="Q26" i="68"/>
  <c r="W26" i="68"/>
  <c r="T26" i="68"/>
  <c r="Z26" i="68"/>
  <c r="AE45" i="68"/>
  <c r="AJ34" i="68"/>
  <c r="AF34" i="68"/>
  <c r="AC28" i="68"/>
  <c r="AV52" i="68"/>
  <c r="AL49" i="68"/>
  <c r="AV27" i="68"/>
  <c r="AU27" i="68"/>
  <c r="AP32" i="68"/>
  <c r="AE32" i="68"/>
  <c r="AF32" i="68"/>
  <c r="AH32" i="68"/>
  <c r="AD32" i="68"/>
  <c r="AS32" i="68"/>
  <c r="W38" i="68"/>
  <c r="T38" i="68"/>
  <c r="AM17" i="68"/>
  <c r="AD17" i="68"/>
  <c r="AJ17" i="68"/>
  <c r="T4" i="69"/>
  <c r="AO17" i="68"/>
  <c r="AN17" i="68"/>
  <c r="AP17" i="68"/>
  <c r="AS17" i="68"/>
  <c r="AV45" i="68"/>
  <c r="T28" i="68"/>
  <c r="AC29" i="68"/>
  <c r="W29" i="68"/>
  <c r="AF45" i="68"/>
  <c r="AR45" i="68"/>
  <c r="AQ45" i="68"/>
  <c r="AP45" i="68"/>
  <c r="AO45" i="68"/>
  <c r="AH45" i="68"/>
  <c r="AU28" i="68"/>
  <c r="AV28" i="68"/>
  <c r="AC34" i="68"/>
  <c r="T34" i="68"/>
  <c r="Q34" i="68"/>
  <c r="W34" i="68"/>
  <c r="Z34" i="68"/>
  <c r="Q38" i="68"/>
  <c r="AL45" i="68"/>
  <c r="U20" i="69"/>
  <c r="K10" i="69"/>
  <c r="L12" i="69" s="1"/>
  <c r="K12" i="69" s="1"/>
  <c r="Z38" i="68"/>
  <c r="AK45" i="68"/>
  <c r="AR17" i="68"/>
  <c r="AQ32" i="68"/>
  <c r="AC38" i="68"/>
  <c r="AV32" i="68"/>
  <c r="AN45" i="68"/>
  <c r="AI30" i="68"/>
  <c r="AI52" i="68"/>
  <c r="AN34" i="68"/>
  <c r="AJ49" i="68"/>
  <c r="AD29" i="68"/>
  <c r="AP29" i="68"/>
  <c r="AF29" i="68"/>
  <c r="AE29" i="68"/>
  <c r="AO29" i="68"/>
  <c r="AI18" i="68"/>
  <c r="W36" i="86"/>
  <c r="V36" i="86" s="1"/>
  <c r="T36" i="86" s="1"/>
  <c r="AP19" i="68"/>
  <c r="W23" i="85"/>
  <c r="V23" i="85" s="1"/>
  <c r="T23" i="85" s="1"/>
  <c r="AM19" i="68"/>
  <c r="W11" i="86"/>
  <c r="V11" i="86" s="1"/>
  <c r="T11" i="86" s="1"/>
  <c r="M11" i="85"/>
  <c r="L11" i="85" s="1"/>
  <c r="K11" i="85" s="1"/>
  <c r="AO19" i="68"/>
  <c r="AS19" i="68"/>
  <c r="V10" i="84"/>
  <c r="M10" i="84" s="1"/>
  <c r="L10" i="84" s="1"/>
  <c r="M36" i="86"/>
  <c r="L36" i="86" s="1"/>
  <c r="K36" i="86" s="1"/>
  <c r="M23" i="85"/>
  <c r="L23" i="85" s="1"/>
  <c r="K23" i="85" s="1"/>
  <c r="AJ19" i="68"/>
  <c r="M23" i="86"/>
  <c r="L23" i="86" s="1"/>
  <c r="K23" i="86" s="1"/>
  <c r="M11" i="86"/>
  <c r="L11" i="86" s="1"/>
  <c r="K11" i="86" s="1"/>
  <c r="AN19" i="68"/>
  <c r="AQ19" i="68"/>
  <c r="W36" i="85"/>
  <c r="V36" i="85" s="1"/>
  <c r="T36" i="85" s="1"/>
  <c r="K66" i="68"/>
  <c r="K69" i="68" s="1"/>
  <c r="AR19" i="68"/>
  <c r="W11" i="85"/>
  <c r="V11" i="85" s="1"/>
  <c r="T11" i="85" s="1"/>
  <c r="M36" i="85"/>
  <c r="L36" i="85" s="1"/>
  <c r="K36" i="85" s="1"/>
  <c r="W23" i="86"/>
  <c r="V23" i="86" s="1"/>
  <c r="T23" i="86" s="1"/>
  <c r="V10" i="87"/>
  <c r="M10" i="87" s="1"/>
  <c r="L10" i="87" s="1"/>
  <c r="O65" i="68"/>
  <c r="O67" i="68" s="1"/>
  <c r="O71" i="68" s="1"/>
  <c r="AG43" i="68"/>
  <c r="AD43" i="68"/>
  <c r="AO43" i="68"/>
  <c r="AM43" i="68"/>
  <c r="AF43" i="68"/>
  <c r="AR43" i="68"/>
  <c r="AE43" i="68"/>
  <c r="AS43" i="68"/>
  <c r="AN43" i="68"/>
  <c r="AQ43" i="68"/>
  <c r="AK43" i="68"/>
  <c r="AL43" i="68"/>
  <c r="AJ43" i="68"/>
  <c r="AP43" i="68"/>
  <c r="AH43" i="68"/>
  <c r="Z24" i="68"/>
  <c r="Q24" i="68"/>
  <c r="T24" i="68"/>
  <c r="W24" i="68"/>
  <c r="AC24" i="68"/>
  <c r="AL25" i="68"/>
  <c r="AS25" i="68"/>
  <c r="AM25" i="68"/>
  <c r="AJ25" i="68"/>
  <c r="AF25" i="68"/>
  <c r="AO25" i="68"/>
  <c r="AN25" i="68"/>
  <c r="AR25" i="68"/>
  <c r="AP25" i="68"/>
  <c r="AK25" i="68"/>
  <c r="AE25" i="68"/>
  <c r="AQ25" i="68"/>
  <c r="AG25" i="68"/>
  <c r="AD25" i="68"/>
  <c r="AH25" i="68"/>
  <c r="L65" i="68"/>
  <c r="L67" i="68" s="1"/>
  <c r="L71" i="68" s="1"/>
  <c r="AI26" i="68"/>
  <c r="W46" i="68"/>
  <c r="Z46" i="68"/>
  <c r="T46" i="68"/>
  <c r="AC46" i="68"/>
  <c r="Q46" i="68"/>
  <c r="Q33" i="68"/>
  <c r="AC33" i="68"/>
  <c r="Z33" i="68"/>
  <c r="T33" i="68"/>
  <c r="W33" i="68"/>
  <c r="V12" i="69"/>
  <c r="AP24" i="68"/>
  <c r="AF24" i="68"/>
  <c r="AL24" i="68"/>
  <c r="AE24" i="68"/>
  <c r="AN24" i="68"/>
  <c r="AS24" i="68"/>
  <c r="AM24" i="68"/>
  <c r="AG24" i="68"/>
  <c r="AD24" i="68"/>
  <c r="AQ24" i="68"/>
  <c r="AR24" i="68"/>
  <c r="AJ24" i="68"/>
  <c r="AH24" i="68"/>
  <c r="AK24" i="68"/>
  <c r="AO24" i="68"/>
  <c r="N66" i="68"/>
  <c r="N69" i="68" s="1"/>
  <c r="K65" i="68"/>
  <c r="K67" i="68" s="1"/>
  <c r="K71" i="68" s="1"/>
  <c r="AD46" i="68"/>
  <c r="AE46" i="68"/>
  <c r="AK46" i="68"/>
  <c r="AM46" i="68"/>
  <c r="AG46" i="68"/>
  <c r="AF46" i="68"/>
  <c r="AJ46" i="68"/>
  <c r="AO46" i="68"/>
  <c r="AR46" i="68"/>
  <c r="AN46" i="68"/>
  <c r="AH46" i="68"/>
  <c r="AS46" i="68"/>
  <c r="AL46" i="68"/>
  <c r="AQ46" i="68"/>
  <c r="AP46" i="68"/>
  <c r="AP33" i="68"/>
  <c r="AR33" i="68"/>
  <c r="AF33" i="68"/>
  <c r="AK33" i="68"/>
  <c r="AJ33" i="68"/>
  <c r="AS33" i="68"/>
  <c r="AO33" i="68"/>
  <c r="AQ33" i="68"/>
  <c r="AH33" i="68"/>
  <c r="AE33" i="68"/>
  <c r="AM33" i="68"/>
  <c r="AG33" i="68"/>
  <c r="AN33" i="68"/>
  <c r="AL33" i="68"/>
  <c r="AD33" i="68"/>
  <c r="AU38" i="68"/>
  <c r="AV38" i="68"/>
  <c r="AC37" i="68"/>
  <c r="Q37" i="68"/>
  <c r="Z37" i="68"/>
  <c r="W37" i="68"/>
  <c r="T37" i="68"/>
  <c r="T40" i="68"/>
  <c r="Z40" i="68"/>
  <c r="AC40" i="68"/>
  <c r="Q40" i="68"/>
  <c r="W40" i="68"/>
  <c r="N65" i="68"/>
  <c r="N67" i="68" s="1"/>
  <c r="N71" i="68" s="1"/>
  <c r="L66" i="68"/>
  <c r="L69" i="68" s="1"/>
  <c r="AU30" i="68"/>
  <c r="AV30" i="68"/>
  <c r="W36" i="68"/>
  <c r="T36" i="68"/>
  <c r="AC36" i="68"/>
  <c r="Q36" i="68"/>
  <c r="Z36" i="68"/>
  <c r="Q42" i="68"/>
  <c r="Z42" i="68"/>
  <c r="T42" i="68"/>
  <c r="W42" i="68"/>
  <c r="AC42" i="68"/>
  <c r="AQ50" i="68"/>
  <c r="AN50" i="68"/>
  <c r="AE50" i="68"/>
  <c r="AD50" i="68"/>
  <c r="AK50" i="68"/>
  <c r="AL50" i="68"/>
  <c r="AG50" i="68"/>
  <c r="AF50" i="68"/>
  <c r="AJ50" i="68"/>
  <c r="AR50" i="68"/>
  <c r="AP50" i="68"/>
  <c r="AS50" i="68"/>
  <c r="AO50" i="68"/>
  <c r="AM50" i="68"/>
  <c r="AH50" i="68"/>
  <c r="AH37" i="68"/>
  <c r="AJ37" i="68"/>
  <c r="AF37" i="68"/>
  <c r="AS37" i="68"/>
  <c r="AE37" i="68"/>
  <c r="AQ37" i="68"/>
  <c r="AR37" i="68"/>
  <c r="AM37" i="68"/>
  <c r="AN37" i="68"/>
  <c r="AD37" i="68"/>
  <c r="AL37" i="68"/>
  <c r="AG37" i="68"/>
  <c r="AP37" i="68"/>
  <c r="AK37" i="68"/>
  <c r="AO37" i="68"/>
  <c r="AL40" i="68"/>
  <c r="AR40" i="68"/>
  <c r="AQ40" i="68"/>
  <c r="AM40" i="68"/>
  <c r="AE40" i="68"/>
  <c r="AH40" i="68"/>
  <c r="AO40" i="68"/>
  <c r="AP40" i="68"/>
  <c r="AD40" i="68"/>
  <c r="AN40" i="68"/>
  <c r="AG40" i="68"/>
  <c r="AK40" i="68"/>
  <c r="AF40" i="68"/>
  <c r="AS40" i="68"/>
  <c r="AJ40" i="68"/>
  <c r="AV42" i="68"/>
  <c r="AU42" i="68"/>
  <c r="W21" i="68"/>
  <c r="Z21" i="68"/>
  <c r="T21" i="68"/>
  <c r="Q21" i="68"/>
  <c r="AC21" i="68"/>
  <c r="AL36" i="68"/>
  <c r="AK36" i="68"/>
  <c r="AP36" i="68"/>
  <c r="AJ36" i="68"/>
  <c r="AE36" i="68"/>
  <c r="AF36" i="68"/>
  <c r="AN36" i="68"/>
  <c r="AM36" i="68"/>
  <c r="AG36" i="68"/>
  <c r="AO36" i="68"/>
  <c r="AS36" i="68"/>
  <c r="AD36" i="68"/>
  <c r="AH36" i="68"/>
  <c r="AQ36" i="68"/>
  <c r="AR36" i="68"/>
  <c r="AK35" i="68"/>
  <c r="AD35" i="68"/>
  <c r="AL35" i="68"/>
  <c r="AS35" i="68"/>
  <c r="AR35" i="68"/>
  <c r="AO35" i="68"/>
  <c r="AE35" i="68"/>
  <c r="AH35" i="68"/>
  <c r="AF35" i="68"/>
  <c r="AJ35" i="68"/>
  <c r="AG35" i="68"/>
  <c r="AM35" i="68"/>
  <c r="AN35" i="68"/>
  <c r="AQ35" i="68"/>
  <c r="AP35" i="68"/>
  <c r="AU29" i="68"/>
  <c r="M66" i="68"/>
  <c r="M69" i="68" s="1"/>
  <c r="Q44" i="68"/>
  <c r="AC44" i="68"/>
  <c r="W44" i="68"/>
  <c r="T44" i="68"/>
  <c r="Z44" i="68"/>
  <c r="AC23" i="68"/>
  <c r="Q23" i="68"/>
  <c r="W23" i="68"/>
  <c r="T23" i="68"/>
  <c r="Z23" i="68"/>
  <c r="T22" i="68"/>
  <c r="W22" i="68"/>
  <c r="AC22" i="68"/>
  <c r="Z22" i="68"/>
  <c r="Q22" i="68"/>
  <c r="AI42" i="68"/>
  <c r="AR39" i="68"/>
  <c r="AM39" i="68"/>
  <c r="AH39" i="68"/>
  <c r="AS39" i="68"/>
  <c r="AO39" i="68"/>
  <c r="AK39" i="68"/>
  <c r="AF39" i="68"/>
  <c r="AD39" i="68"/>
  <c r="AE39" i="68"/>
  <c r="AP39" i="68"/>
  <c r="AQ39" i="68"/>
  <c r="AN39" i="68"/>
  <c r="AJ39" i="68"/>
  <c r="AG39" i="68"/>
  <c r="AL39" i="68"/>
  <c r="AM20" i="68"/>
  <c r="AQ20" i="68"/>
  <c r="AO20" i="68"/>
  <c r="AS20" i="68"/>
  <c r="AH20" i="68"/>
  <c r="AL20" i="68"/>
  <c r="AD20" i="68"/>
  <c r="AJ20" i="68"/>
  <c r="AE20" i="68"/>
  <c r="AN20" i="68"/>
  <c r="AK20" i="68"/>
  <c r="AF20" i="68"/>
  <c r="AG20" i="68"/>
  <c r="AR20" i="68"/>
  <c r="AP20" i="68"/>
  <c r="AV41" i="68"/>
  <c r="AU41" i="68"/>
  <c r="T51" i="68"/>
  <c r="Q51" i="68"/>
  <c r="AC51" i="68"/>
  <c r="W51" i="68"/>
  <c r="Z51" i="68"/>
  <c r="M65" i="68"/>
  <c r="M67" i="68" s="1"/>
  <c r="M71" i="68" s="1"/>
  <c r="AL51" i="68"/>
  <c r="AF51" i="68"/>
  <c r="AG51" i="68"/>
  <c r="AJ51" i="68"/>
  <c r="AM51" i="68"/>
  <c r="AR51" i="68"/>
  <c r="AP51" i="68"/>
  <c r="AD51" i="68"/>
  <c r="AK51" i="68"/>
  <c r="AH51" i="68"/>
  <c r="AQ51" i="68"/>
  <c r="AO51" i="68"/>
  <c r="AE51" i="68"/>
  <c r="AS51" i="68"/>
  <c r="AN51" i="68"/>
  <c r="AQ23" i="68"/>
  <c r="AK23" i="68"/>
  <c r="AG23" i="68"/>
  <c r="AL23" i="68"/>
  <c r="AD23" i="68"/>
  <c r="AO23" i="68"/>
  <c r="AS23" i="68"/>
  <c r="AE23" i="68"/>
  <c r="AP23" i="68"/>
  <c r="AN23" i="68"/>
  <c r="AM23" i="68"/>
  <c r="AH23" i="68"/>
  <c r="AR23" i="68"/>
  <c r="AF23" i="68"/>
  <c r="AJ23" i="68"/>
  <c r="AQ21" i="68"/>
  <c r="AS21" i="68"/>
  <c r="AN21" i="68"/>
  <c r="AM21" i="68"/>
  <c r="AK21" i="68"/>
  <c r="AJ21" i="68"/>
  <c r="AF21" i="68"/>
  <c r="AG21" i="68"/>
  <c r="AD21" i="68"/>
  <c r="AO21" i="68"/>
  <c r="AE21" i="68"/>
  <c r="AH21" i="68"/>
  <c r="AP21" i="68"/>
  <c r="AR21" i="68"/>
  <c r="AL21" i="68"/>
  <c r="Z20" i="68"/>
  <c r="T20" i="68"/>
  <c r="Q20" i="68"/>
  <c r="AC20" i="68"/>
  <c r="W20" i="68"/>
  <c r="Z35" i="68"/>
  <c r="Q35" i="68"/>
  <c r="W35" i="68"/>
  <c r="T35" i="68"/>
  <c r="AC35" i="68"/>
  <c r="Y23" i="86"/>
  <c r="Z23" i="86" s="1"/>
  <c r="O11" i="85"/>
  <c r="P11" i="85" s="1"/>
  <c r="O23" i="85"/>
  <c r="P23" i="85" s="1"/>
  <c r="O36" i="86"/>
  <c r="P36" i="86" s="1"/>
  <c r="Z19" i="68"/>
  <c r="AG19" i="68" s="1"/>
  <c r="Y11" i="85"/>
  <c r="Z11" i="85" s="1"/>
  <c r="S11" i="85" s="1"/>
  <c r="Y36" i="85"/>
  <c r="Z36" i="85" s="1"/>
  <c r="O23" i="86"/>
  <c r="P23" i="86" s="1"/>
  <c r="Y23" i="85"/>
  <c r="Z23" i="85" s="1"/>
  <c r="O11" i="86"/>
  <c r="P11" i="86" s="1"/>
  <c r="O36" i="85"/>
  <c r="P36" i="85" s="1"/>
  <c r="Q19" i="68"/>
  <c r="T19" i="68"/>
  <c r="AE19" i="68" s="1"/>
  <c r="X10" i="84"/>
  <c r="Y10" i="84" s="1"/>
  <c r="X10" i="87"/>
  <c r="Y10" i="87" s="1"/>
  <c r="Y11" i="86"/>
  <c r="Z11" i="86" s="1"/>
  <c r="W19" i="68"/>
  <c r="AF19" i="68" s="1"/>
  <c r="AC19" i="68"/>
  <c r="AH19" i="68" s="1"/>
  <c r="Y36" i="86"/>
  <c r="Z36" i="86" s="1"/>
  <c r="AG44" i="68"/>
  <c r="AH44" i="68"/>
  <c r="AL44" i="68"/>
  <c r="AN44" i="68"/>
  <c r="AK44" i="68"/>
  <c r="AR44" i="68"/>
  <c r="AJ44" i="68"/>
  <c r="AS44" i="68"/>
  <c r="AM44" i="68"/>
  <c r="AP44" i="68"/>
  <c r="AQ44" i="68"/>
  <c r="AO44" i="68"/>
  <c r="AD44" i="68"/>
  <c r="AF44" i="68"/>
  <c r="AE44" i="68"/>
  <c r="AI28" i="68"/>
  <c r="Z43" i="68"/>
  <c r="Q43" i="68"/>
  <c r="T43" i="68"/>
  <c r="AC43" i="68"/>
  <c r="W43" i="68"/>
  <c r="AG22" i="68"/>
  <c r="AN22" i="68"/>
  <c r="AL22" i="68"/>
  <c r="AH22" i="68"/>
  <c r="AR22" i="68"/>
  <c r="AS22" i="68"/>
  <c r="AE22" i="68"/>
  <c r="AF22" i="68"/>
  <c r="AQ22" i="68"/>
  <c r="AD22" i="68"/>
  <c r="AP22" i="68"/>
  <c r="AM22" i="68"/>
  <c r="AK22" i="68"/>
  <c r="AJ22" i="68"/>
  <c r="AO22" i="68"/>
  <c r="T50" i="68"/>
  <c r="Q50" i="68"/>
  <c r="W50" i="68"/>
  <c r="Z50" i="68"/>
  <c r="AC50" i="68"/>
  <c r="O66" i="68"/>
  <c r="O69" i="68" s="1"/>
  <c r="Q39" i="68"/>
  <c r="W39" i="68"/>
  <c r="AC39" i="68"/>
  <c r="T39" i="68"/>
  <c r="Z39" i="68"/>
  <c r="Q51" i="71"/>
  <c r="AC51" i="71"/>
  <c r="T51" i="71"/>
  <c r="Z51" i="71"/>
  <c r="W51" i="71"/>
  <c r="AU28" i="71"/>
  <c r="AV28" i="71"/>
  <c r="Z37" i="71"/>
  <c r="W37" i="71"/>
  <c r="T37" i="71"/>
  <c r="AC37" i="71"/>
  <c r="Q37" i="71"/>
  <c r="AC39" i="71"/>
  <c r="T39" i="71"/>
  <c r="W39" i="71"/>
  <c r="Q39" i="71"/>
  <c r="Z39" i="71"/>
  <c r="AV34" i="71"/>
  <c r="AV25" i="71"/>
  <c r="AU25" i="71"/>
  <c r="W35" i="71"/>
  <c r="Q35" i="71"/>
  <c r="T35" i="71"/>
  <c r="AC35" i="71"/>
  <c r="Z35" i="71"/>
  <c r="AC46" i="71"/>
  <c r="T46" i="71"/>
  <c r="W46" i="71"/>
  <c r="Z46" i="71"/>
  <c r="Q46" i="71"/>
  <c r="AV48" i="71"/>
  <c r="AU48" i="71"/>
  <c r="T32" i="71"/>
  <c r="Q32" i="71"/>
  <c r="AC32" i="71"/>
  <c r="W32" i="71"/>
  <c r="Z32" i="71"/>
  <c r="Q45" i="71"/>
  <c r="T45" i="71"/>
  <c r="W45" i="71"/>
  <c r="Z45" i="71"/>
  <c r="AC45" i="71"/>
  <c r="T29" i="71"/>
  <c r="AU51" i="71"/>
  <c r="AV51" i="71"/>
  <c r="Z48" i="71"/>
  <c r="T48" i="71"/>
  <c r="W48" i="71"/>
  <c r="Q48" i="71"/>
  <c r="AC48" i="71"/>
  <c r="Q41" i="71"/>
  <c r="AC41" i="71"/>
  <c r="W41" i="71"/>
  <c r="Z41" i="71"/>
  <c r="T41" i="71"/>
  <c r="T24" i="71"/>
  <c r="AC24" i="71"/>
  <c r="W24" i="71"/>
  <c r="Q24" i="71"/>
  <c r="Z24" i="71"/>
  <c r="AV38" i="71"/>
  <c r="AU38" i="71"/>
  <c r="T30" i="71"/>
  <c r="Z23" i="71"/>
  <c r="AC23" i="71"/>
  <c r="Q23" i="71"/>
  <c r="T23" i="71"/>
  <c r="W23" i="71"/>
  <c r="AU23" i="71"/>
  <c r="AV23" i="71"/>
  <c r="AC20" i="71"/>
  <c r="T20" i="71"/>
  <c r="Z20" i="71"/>
  <c r="W20" i="71"/>
  <c r="Q20" i="71"/>
  <c r="W22" i="71"/>
  <c r="Q22" i="71"/>
  <c r="Z22" i="71"/>
  <c r="T22" i="71"/>
  <c r="AC22" i="71"/>
  <c r="V10" i="69"/>
  <c r="H10" i="69"/>
  <c r="V14" i="69"/>
  <c r="J10" i="69"/>
  <c r="U16" i="69"/>
  <c r="T16" i="69" s="1"/>
  <c r="AG17" i="68"/>
  <c r="T12" i="69"/>
  <c r="AG55" i="68"/>
  <c r="AG56" i="68" s="1"/>
  <c r="AT49" i="71" l="1"/>
  <c r="AK49" i="71"/>
  <c r="AS49" i="71"/>
  <c r="AD49" i="71"/>
  <c r="AL49" i="71"/>
  <c r="AF49" i="71"/>
  <c r="AN49" i="71"/>
  <c r="AJ49" i="71"/>
  <c r="AM49" i="71"/>
  <c r="AO49" i="71"/>
  <c r="AP49" i="71"/>
  <c r="AG49" i="71"/>
  <c r="AE49" i="71"/>
  <c r="AH49" i="71"/>
  <c r="AQ49" i="71"/>
  <c r="AR49" i="71"/>
  <c r="AT30" i="71"/>
  <c r="AK30" i="71"/>
  <c r="AS30" i="71"/>
  <c r="AD30" i="71"/>
  <c r="AL30" i="71"/>
  <c r="AF30" i="71"/>
  <c r="AN30" i="71"/>
  <c r="AH30" i="71"/>
  <c r="AO30" i="71"/>
  <c r="AJ30" i="71"/>
  <c r="AM30" i="71"/>
  <c r="AP30" i="71"/>
  <c r="AG30" i="71"/>
  <c r="AQ30" i="71"/>
  <c r="AR30" i="71"/>
  <c r="AE30" i="71"/>
  <c r="AT46" i="71"/>
  <c r="AK46" i="71"/>
  <c r="AS46" i="71"/>
  <c r="AD46" i="71"/>
  <c r="AL46" i="71"/>
  <c r="AF46" i="71"/>
  <c r="AN46" i="71"/>
  <c r="AH46" i="71"/>
  <c r="AJ46" i="71"/>
  <c r="AM46" i="71"/>
  <c r="AP46" i="71"/>
  <c r="AQ46" i="71"/>
  <c r="AR46" i="71"/>
  <c r="AE46" i="71"/>
  <c r="AG46" i="71"/>
  <c r="AO46" i="71"/>
  <c r="Z29" i="71"/>
  <c r="AV39" i="47"/>
  <c r="AT33" i="71"/>
  <c r="AK33" i="71"/>
  <c r="AS33" i="71"/>
  <c r="AD33" i="71"/>
  <c r="AL33" i="71"/>
  <c r="AF33" i="71"/>
  <c r="AN33" i="71"/>
  <c r="AJ33" i="71"/>
  <c r="AE33" i="71"/>
  <c r="AM33" i="71"/>
  <c r="AO33" i="71"/>
  <c r="AP33" i="71"/>
  <c r="AQ33" i="71"/>
  <c r="AH33" i="71"/>
  <c r="AG33" i="71"/>
  <c r="AR33" i="71"/>
  <c r="AT29" i="71"/>
  <c r="AK29" i="71"/>
  <c r="AS29" i="71"/>
  <c r="AD29" i="71"/>
  <c r="AL29" i="71"/>
  <c r="AF29" i="71"/>
  <c r="AN29" i="71"/>
  <c r="AJ29" i="71"/>
  <c r="AO29" i="71"/>
  <c r="AM29" i="71"/>
  <c r="AQ29" i="71"/>
  <c r="AP29" i="71"/>
  <c r="AE29" i="71"/>
  <c r="AG29" i="71"/>
  <c r="AR29" i="71"/>
  <c r="AH29" i="71"/>
  <c r="AI27" i="65"/>
  <c r="AT35" i="71"/>
  <c r="AK35" i="71"/>
  <c r="AS35" i="71"/>
  <c r="AD35" i="71"/>
  <c r="AL35" i="71"/>
  <c r="AF35" i="71"/>
  <c r="AN35" i="71"/>
  <c r="AE35" i="71"/>
  <c r="AQ35" i="71"/>
  <c r="AG35" i="71"/>
  <c r="AR35" i="71"/>
  <c r="AH35" i="71"/>
  <c r="AP35" i="71"/>
  <c r="AJ35" i="71"/>
  <c r="AM35" i="71"/>
  <c r="AO35" i="71"/>
  <c r="W29" i="71"/>
  <c r="AV35" i="65"/>
  <c r="AV51" i="81"/>
  <c r="AI31" i="68"/>
  <c r="AV28" i="81"/>
  <c r="AU28" i="81"/>
  <c r="AI45" i="71"/>
  <c r="AI23" i="71"/>
  <c r="AI23" i="81"/>
  <c r="AI26" i="71"/>
  <c r="AI42" i="71"/>
  <c r="AI47" i="71"/>
  <c r="AV46" i="81"/>
  <c r="AU24" i="47"/>
  <c r="AI29" i="47"/>
  <c r="AI51" i="47"/>
  <c r="AI41" i="68"/>
  <c r="AI46" i="81"/>
  <c r="AI35" i="65"/>
  <c r="AI34" i="71"/>
  <c r="AI22" i="71"/>
  <c r="AI44" i="71"/>
  <c r="Q29" i="71"/>
  <c r="AI47" i="68"/>
  <c r="AI37" i="71"/>
  <c r="AI22" i="47"/>
  <c r="AI51" i="59"/>
  <c r="AV31" i="68"/>
  <c r="AI39" i="56"/>
  <c r="AI24" i="59"/>
  <c r="AT40" i="71"/>
  <c r="AK40" i="71"/>
  <c r="AS40" i="71"/>
  <c r="AD40" i="71"/>
  <c r="AL40" i="71"/>
  <c r="AF40" i="71"/>
  <c r="AN40" i="71"/>
  <c r="AO40" i="71"/>
  <c r="AQ40" i="71"/>
  <c r="AP40" i="71"/>
  <c r="AE40" i="71"/>
  <c r="AG40" i="71"/>
  <c r="AR40" i="71"/>
  <c r="AJ40" i="71"/>
  <c r="AM40" i="71"/>
  <c r="AH40" i="71"/>
  <c r="AT27" i="71"/>
  <c r="AK27" i="71"/>
  <c r="AS27" i="71"/>
  <c r="AD27" i="71"/>
  <c r="AL27" i="71"/>
  <c r="AF27" i="71"/>
  <c r="AN27" i="71"/>
  <c r="AE27" i="71"/>
  <c r="AQ27" i="71"/>
  <c r="AH27" i="71"/>
  <c r="AG27" i="71"/>
  <c r="AR27" i="71"/>
  <c r="AJ27" i="71"/>
  <c r="AP27" i="71"/>
  <c r="AO27" i="71"/>
  <c r="AM27" i="71"/>
  <c r="AV39" i="71"/>
  <c r="AU39" i="71"/>
  <c r="AT43" i="71"/>
  <c r="AK43" i="71"/>
  <c r="AS43" i="71"/>
  <c r="AD43" i="71"/>
  <c r="AI43" i="71" s="1"/>
  <c r="AL43" i="71"/>
  <c r="AF43" i="71"/>
  <c r="AN43" i="71"/>
  <c r="AE43" i="71"/>
  <c r="AQ43" i="71"/>
  <c r="AG43" i="71"/>
  <c r="AR43" i="71"/>
  <c r="AH43" i="71"/>
  <c r="AO43" i="71"/>
  <c r="AJ43" i="71"/>
  <c r="AM43" i="71"/>
  <c r="AP43" i="71"/>
  <c r="AI32" i="56"/>
  <c r="AI21" i="71"/>
  <c r="AI21" i="56"/>
  <c r="AI52" i="71"/>
  <c r="AI28" i="71"/>
  <c r="AI32" i="71"/>
  <c r="AU33" i="81"/>
  <c r="AI35" i="47"/>
  <c r="AI30" i="59"/>
  <c r="AI48" i="71"/>
  <c r="AI25" i="71"/>
  <c r="AI38" i="71"/>
  <c r="AI51" i="71"/>
  <c r="AI41" i="71"/>
  <c r="AI45" i="68"/>
  <c r="AI31" i="56"/>
  <c r="AU40" i="71"/>
  <c r="AV40" i="71"/>
  <c r="AI52" i="65"/>
  <c r="AI33" i="81"/>
  <c r="AI51" i="81"/>
  <c r="Z33" i="71"/>
  <c r="W33" i="71"/>
  <c r="AC33" i="71"/>
  <c r="Q33" i="71"/>
  <c r="T33" i="71"/>
  <c r="AU44" i="65"/>
  <c r="AV44" i="65"/>
  <c r="Q27" i="71"/>
  <c r="T27" i="71"/>
  <c r="Z27" i="71"/>
  <c r="AC27" i="71"/>
  <c r="W27" i="71"/>
  <c r="Z30" i="71"/>
  <c r="AU49" i="68"/>
  <c r="AU30" i="59"/>
  <c r="AV27" i="65"/>
  <c r="AI33" i="62"/>
  <c r="AI50" i="81"/>
  <c r="AC49" i="71"/>
  <c r="T49" i="71"/>
  <c r="Z49" i="71"/>
  <c r="W49" i="71"/>
  <c r="Q49" i="71"/>
  <c r="AV33" i="71"/>
  <c r="AU33" i="71"/>
  <c r="AG53" i="81"/>
  <c r="AS53" i="81"/>
  <c r="AS55" i="81" s="1"/>
  <c r="O70" i="81" s="1"/>
  <c r="AC40" i="71"/>
  <c r="Q40" i="71"/>
  <c r="Z40" i="71"/>
  <c r="T40" i="71"/>
  <c r="W40" i="71"/>
  <c r="AU26" i="47"/>
  <c r="AV50" i="47"/>
  <c r="AU50" i="47"/>
  <c r="Q30" i="71"/>
  <c r="W30" i="71"/>
  <c r="AV51" i="59"/>
  <c r="AP53" i="59"/>
  <c r="AP55" i="59" s="1"/>
  <c r="L70" i="59" s="1"/>
  <c r="AU31" i="56"/>
  <c r="AI50" i="59"/>
  <c r="AI50" i="47"/>
  <c r="Q43" i="71"/>
  <c r="Z43" i="71"/>
  <c r="T43" i="71"/>
  <c r="AC43" i="71"/>
  <c r="W43" i="71"/>
  <c r="AI39" i="47"/>
  <c r="AV21" i="56"/>
  <c r="AU21" i="56"/>
  <c r="AI38" i="65"/>
  <c r="AI22" i="81"/>
  <c r="AV30" i="47"/>
  <c r="AU30" i="47"/>
  <c r="AI48" i="56"/>
  <c r="AU48" i="56"/>
  <c r="AI51" i="62"/>
  <c r="AI45" i="47"/>
  <c r="AI24" i="47"/>
  <c r="AI27" i="47"/>
  <c r="AI27" i="62"/>
  <c r="AV46" i="62"/>
  <c r="AU46" i="62"/>
  <c r="J36" i="86"/>
  <c r="AV29" i="47"/>
  <c r="AU29" i="47"/>
  <c r="AH53" i="47"/>
  <c r="AH54" i="47" s="1"/>
  <c r="N60" i="47" s="1"/>
  <c r="AV45" i="47"/>
  <c r="AU45" i="47"/>
  <c r="AI47" i="47"/>
  <c r="AI46" i="47"/>
  <c r="AV22" i="47"/>
  <c r="AU22" i="47"/>
  <c r="AU47" i="47"/>
  <c r="AV47" i="47"/>
  <c r="AV51" i="47"/>
  <c r="AU51" i="47"/>
  <c r="AI41" i="47"/>
  <c r="J29" i="86"/>
  <c r="S42" i="85"/>
  <c r="AU17" i="47"/>
  <c r="J17" i="85"/>
  <c r="AI18" i="81"/>
  <c r="AI40" i="81"/>
  <c r="AU25" i="81"/>
  <c r="AI25" i="81"/>
  <c r="AF53" i="81"/>
  <c r="AF54" i="81" s="1"/>
  <c r="L60" i="81" s="1"/>
  <c r="AR53" i="81"/>
  <c r="AR55" i="81" s="1"/>
  <c r="N70" i="81" s="1"/>
  <c r="AU19" i="81"/>
  <c r="AP53" i="81"/>
  <c r="AP54" i="81" s="1"/>
  <c r="AU24" i="81"/>
  <c r="AV24" i="81"/>
  <c r="AH53" i="81"/>
  <c r="AA53" i="81" s="1"/>
  <c r="AU22" i="81"/>
  <c r="AV22" i="81"/>
  <c r="AI24" i="81"/>
  <c r="AF53" i="56"/>
  <c r="AF54" i="56" s="1"/>
  <c r="L60" i="56" s="1"/>
  <c r="AI18" i="56"/>
  <c r="AI46" i="56"/>
  <c r="AU52" i="56"/>
  <c r="AV52" i="56"/>
  <c r="AI52" i="56"/>
  <c r="S40" i="85"/>
  <c r="AE53" i="56"/>
  <c r="AE54" i="56" s="1"/>
  <c r="K60" i="56" s="1"/>
  <c r="J27" i="86"/>
  <c r="AH53" i="56"/>
  <c r="AU37" i="56"/>
  <c r="AV37" i="56"/>
  <c r="J15" i="86"/>
  <c r="AU17" i="56"/>
  <c r="AF53" i="59"/>
  <c r="AF54" i="59" s="1"/>
  <c r="L60" i="59" s="1"/>
  <c r="AN53" i="59"/>
  <c r="AN54" i="59" s="1"/>
  <c r="AU50" i="59"/>
  <c r="AV50" i="59"/>
  <c r="AR53" i="59"/>
  <c r="AJ53" i="59"/>
  <c r="AJ55" i="59" s="1"/>
  <c r="K68" i="59" s="1"/>
  <c r="K72" i="59" s="1"/>
  <c r="AO53" i="59"/>
  <c r="AO54" i="59" s="1"/>
  <c r="AD53" i="59"/>
  <c r="AD54" i="59" s="1"/>
  <c r="J60" i="59" s="1"/>
  <c r="AS53" i="59"/>
  <c r="AS55" i="59" s="1"/>
  <c r="O70" i="59" s="1"/>
  <c r="AQ53" i="59"/>
  <c r="AQ54" i="59" s="1"/>
  <c r="AG53" i="59"/>
  <c r="AU20" i="59"/>
  <c r="AI52" i="59"/>
  <c r="AU25" i="59"/>
  <c r="AV25" i="59"/>
  <c r="AV17" i="59"/>
  <c r="AL17" i="59" s="1"/>
  <c r="AI36" i="62"/>
  <c r="AI34" i="62"/>
  <c r="AV36" i="62"/>
  <c r="AU36" i="62"/>
  <c r="AI19" i="62"/>
  <c r="AF53" i="62"/>
  <c r="AF54" i="62" s="1"/>
  <c r="L60" i="62" s="1"/>
  <c r="AI50" i="62"/>
  <c r="AV51" i="62"/>
  <c r="AU51" i="62"/>
  <c r="AV52" i="65"/>
  <c r="AU52" i="65"/>
  <c r="AF53" i="65"/>
  <c r="AV24" i="65"/>
  <c r="AU24" i="65"/>
  <c r="AI24" i="65"/>
  <c r="V8" i="66"/>
  <c r="G10" i="66"/>
  <c r="G12" i="66" s="1"/>
  <c r="AE18" i="65"/>
  <c r="AE53" i="65" s="1"/>
  <c r="AE54" i="65" s="1"/>
  <c r="K60" i="65" s="1"/>
  <c r="AU18" i="65"/>
  <c r="U19" i="66"/>
  <c r="U20" i="66"/>
  <c r="AI34" i="65"/>
  <c r="AV22" i="65"/>
  <c r="AU22" i="65"/>
  <c r="AU17" i="65"/>
  <c r="F12" i="69"/>
  <c r="S23" i="86"/>
  <c r="AU32" i="68"/>
  <c r="AI49" i="68"/>
  <c r="AU34" i="68"/>
  <c r="J36" i="85"/>
  <c r="S11" i="86"/>
  <c r="AO53" i="47"/>
  <c r="AO54" i="47" s="1"/>
  <c r="S17" i="86"/>
  <c r="S42" i="86"/>
  <c r="J17" i="86"/>
  <c r="AU20" i="47"/>
  <c r="AV20" i="47"/>
  <c r="AU36" i="47"/>
  <c r="AV36" i="47"/>
  <c r="J42" i="86"/>
  <c r="AV32" i="47"/>
  <c r="AU32" i="47"/>
  <c r="AI36" i="47"/>
  <c r="AI32" i="47"/>
  <c r="AI43" i="47"/>
  <c r="AV25" i="47"/>
  <c r="AU25" i="47"/>
  <c r="J42" i="85"/>
  <c r="AE53" i="47"/>
  <c r="AI20" i="47"/>
  <c r="AI18" i="47"/>
  <c r="AI38" i="47"/>
  <c r="V8" i="54"/>
  <c r="G10" i="54"/>
  <c r="G12" i="54" s="1"/>
  <c r="AU42" i="47"/>
  <c r="AV42" i="47"/>
  <c r="S29" i="86"/>
  <c r="AQ53" i="47"/>
  <c r="AV38" i="47"/>
  <c r="AU38" i="47"/>
  <c r="L16" i="87"/>
  <c r="K16" i="87"/>
  <c r="J10" i="54"/>
  <c r="J12" i="54" s="1"/>
  <c r="V14" i="54"/>
  <c r="AI42" i="47"/>
  <c r="AF53" i="47"/>
  <c r="AG53" i="47"/>
  <c r="J29" i="85"/>
  <c r="AI40" i="47"/>
  <c r="AV48" i="47"/>
  <c r="AU48" i="47"/>
  <c r="AR53" i="47"/>
  <c r="AV46" i="47"/>
  <c r="AU46" i="47"/>
  <c r="AI25" i="47"/>
  <c r="K16" i="84"/>
  <c r="L16" i="84"/>
  <c r="V6" i="54"/>
  <c r="F10" i="54"/>
  <c r="F12" i="54" s="1"/>
  <c r="S29" i="85"/>
  <c r="S17" i="85"/>
  <c r="AU19" i="47"/>
  <c r="AV19" i="47" s="1"/>
  <c r="U19" i="54"/>
  <c r="U20" i="54"/>
  <c r="AS53" i="47"/>
  <c r="AU18" i="47"/>
  <c r="AV18" i="47" s="1"/>
  <c r="H10" i="54"/>
  <c r="H12" i="54" s="1"/>
  <c r="V10" i="54"/>
  <c r="AU28" i="47"/>
  <c r="AV28" i="47"/>
  <c r="AN53" i="47"/>
  <c r="AP53" i="47"/>
  <c r="AV40" i="47"/>
  <c r="AU40" i="47"/>
  <c r="AI17" i="47"/>
  <c r="AD53" i="47"/>
  <c r="AJ53" i="47"/>
  <c r="AI28" i="47"/>
  <c r="AV41" i="47"/>
  <c r="AU41" i="47"/>
  <c r="AU43" i="47"/>
  <c r="AV43" i="47"/>
  <c r="AI19" i="47"/>
  <c r="I10" i="54"/>
  <c r="I12" i="54" s="1"/>
  <c r="V12" i="54"/>
  <c r="AI48" i="47"/>
  <c r="F12" i="82"/>
  <c r="AE53" i="81"/>
  <c r="AE54" i="81" s="1"/>
  <c r="K60" i="81" s="1"/>
  <c r="AN53" i="81"/>
  <c r="AN55" i="81" s="1"/>
  <c r="O68" i="81" s="1"/>
  <c r="O72" i="81" s="1"/>
  <c r="AG54" i="81"/>
  <c r="M60" i="81" s="1"/>
  <c r="AH54" i="81"/>
  <c r="N60" i="81" s="1"/>
  <c r="AS54" i="81"/>
  <c r="AP55" i="81"/>
  <c r="L70" i="81" s="1"/>
  <c r="AI38" i="81"/>
  <c r="AU38" i="81"/>
  <c r="AV38" i="81"/>
  <c r="AI41" i="81"/>
  <c r="AD53" i="81"/>
  <c r="AU31" i="81"/>
  <c r="AV31" i="81"/>
  <c r="G12" i="82"/>
  <c r="AQ53" i="81"/>
  <c r="AI36" i="81"/>
  <c r="AI42" i="81"/>
  <c r="AU18" i="81"/>
  <c r="AV18" i="81" s="1"/>
  <c r="AV32" i="81"/>
  <c r="AU32" i="81"/>
  <c r="AV36" i="81"/>
  <c r="AU36" i="81"/>
  <c r="AU48" i="81"/>
  <c r="AV48" i="81"/>
  <c r="AV37" i="81"/>
  <c r="AU37" i="81"/>
  <c r="AI29" i="81"/>
  <c r="AI32" i="81"/>
  <c r="H12" i="82"/>
  <c r="AU29" i="81"/>
  <c r="AV29" i="81"/>
  <c r="AO53" i="81"/>
  <c r="AV40" i="81"/>
  <c r="AU40" i="81"/>
  <c r="AI37" i="81"/>
  <c r="AU17" i="81"/>
  <c r="AV17" i="81" s="1"/>
  <c r="AV21" i="81"/>
  <c r="AU21" i="81"/>
  <c r="AJ53" i="81"/>
  <c r="AU42" i="81"/>
  <c r="AV42" i="81"/>
  <c r="AU41" i="81"/>
  <c r="AV41" i="81"/>
  <c r="K12" i="82"/>
  <c r="J12" i="82"/>
  <c r="AI31" i="81"/>
  <c r="AI21" i="81"/>
  <c r="AI39" i="81"/>
  <c r="AV39" i="81"/>
  <c r="AU39" i="81"/>
  <c r="AI48" i="81"/>
  <c r="H12" i="57"/>
  <c r="F12" i="57"/>
  <c r="AV19" i="56"/>
  <c r="AU18" i="56"/>
  <c r="AH54" i="56"/>
  <c r="N60" i="56" s="1"/>
  <c r="AA53" i="56"/>
  <c r="AI17" i="56"/>
  <c r="AD53" i="56"/>
  <c r="AV34" i="56"/>
  <c r="AU34" i="56"/>
  <c r="AU20" i="56"/>
  <c r="AV20" i="56"/>
  <c r="AS53" i="56"/>
  <c r="AJ53" i="56"/>
  <c r="AR53" i="56"/>
  <c r="AU41" i="56"/>
  <c r="AV41" i="56"/>
  <c r="AV47" i="56"/>
  <c r="AU47" i="56"/>
  <c r="J12" i="57"/>
  <c r="AQ53" i="56"/>
  <c r="AO53" i="56"/>
  <c r="AV38" i="56"/>
  <c r="AU38" i="56"/>
  <c r="AG53" i="56"/>
  <c r="AI34" i="56"/>
  <c r="AI42" i="56"/>
  <c r="AI20" i="56"/>
  <c r="AV33" i="56"/>
  <c r="AU33" i="56"/>
  <c r="AN53" i="56"/>
  <c r="AU42" i="56"/>
  <c r="AV42" i="56"/>
  <c r="AU46" i="56"/>
  <c r="AV46" i="56"/>
  <c r="AI38" i="56"/>
  <c r="I12" i="57"/>
  <c r="K12" i="57"/>
  <c r="AU40" i="56"/>
  <c r="AV40" i="56"/>
  <c r="AI40" i="56"/>
  <c r="AI26" i="56"/>
  <c r="AP53" i="56"/>
  <c r="AI47" i="56"/>
  <c r="AI33" i="56"/>
  <c r="AU26" i="56"/>
  <c r="AV26" i="56"/>
  <c r="AI41" i="56"/>
  <c r="AK19" i="59"/>
  <c r="AK53" i="59" s="1"/>
  <c r="AK55" i="59" s="1"/>
  <c r="L68" i="59" s="1"/>
  <c r="L72" i="59" s="1"/>
  <c r="AL19" i="59"/>
  <c r="AE53" i="59"/>
  <c r="AH53" i="59"/>
  <c r="AH54" i="59" s="1"/>
  <c r="N60" i="59" s="1"/>
  <c r="AR55" i="59"/>
  <c r="N70" i="59" s="1"/>
  <c r="AR54" i="59"/>
  <c r="AJ54" i="59"/>
  <c r="AG54" i="59"/>
  <c r="M60" i="59" s="1"/>
  <c r="AV26" i="59"/>
  <c r="AU26" i="59"/>
  <c r="AU31" i="59"/>
  <c r="AV31" i="59"/>
  <c r="AU49" i="59"/>
  <c r="AV49" i="59"/>
  <c r="AI32" i="59"/>
  <c r="AU18" i="59"/>
  <c r="AV18" i="59" s="1"/>
  <c r="AU38" i="59"/>
  <c r="AV38" i="59"/>
  <c r="AU22" i="59"/>
  <c r="AV22" i="59"/>
  <c r="AU36" i="59"/>
  <c r="AV36" i="59"/>
  <c r="AI44" i="59"/>
  <c r="AI42" i="59"/>
  <c r="AU27" i="59"/>
  <c r="AV27" i="59"/>
  <c r="AI22" i="59"/>
  <c r="AU42" i="59"/>
  <c r="AV42" i="59"/>
  <c r="AI27" i="59"/>
  <c r="AI38" i="59"/>
  <c r="AV44" i="59"/>
  <c r="AU44" i="59"/>
  <c r="AI26" i="59"/>
  <c r="AI31" i="59"/>
  <c r="AI36" i="59"/>
  <c r="AI49" i="59"/>
  <c r="AU32" i="59"/>
  <c r="AV32" i="59"/>
  <c r="AU19" i="62"/>
  <c r="AD53" i="62"/>
  <c r="AI17" i="62"/>
  <c r="AQ53" i="62"/>
  <c r="V8" i="63"/>
  <c r="G10" i="63"/>
  <c r="G12" i="63" s="1"/>
  <c r="AV28" i="62"/>
  <c r="AU28" i="62"/>
  <c r="AV23" i="62"/>
  <c r="AU23" i="62"/>
  <c r="AR53" i="62"/>
  <c r="AV37" i="62"/>
  <c r="AU37" i="62"/>
  <c r="AN53" i="62"/>
  <c r="I10" i="63"/>
  <c r="I12" i="63" s="1"/>
  <c r="V12" i="63"/>
  <c r="AI25" i="62"/>
  <c r="AI31" i="62"/>
  <c r="AV50" i="62"/>
  <c r="AU50" i="62"/>
  <c r="AG18" i="62"/>
  <c r="AG53" i="62" s="1"/>
  <c r="V14" i="63"/>
  <c r="J10" i="63"/>
  <c r="J12" i="63" s="1"/>
  <c r="AV42" i="62"/>
  <c r="AU42" i="62"/>
  <c r="AV45" i="62"/>
  <c r="AU45" i="62"/>
  <c r="AP53" i="62"/>
  <c r="AH53" i="62"/>
  <c r="AI23" i="62"/>
  <c r="AI42" i="62"/>
  <c r="AU25" i="62"/>
  <c r="AV25" i="62"/>
  <c r="AI32" i="62"/>
  <c r="AI43" i="62"/>
  <c r="AU21" i="62"/>
  <c r="AV21" i="62"/>
  <c r="AE18" i="62"/>
  <c r="AJ53" i="62"/>
  <c r="H10" i="63"/>
  <c r="H12" i="63" s="1"/>
  <c r="V10" i="63"/>
  <c r="AI37" i="62"/>
  <c r="AI45" i="62"/>
  <c r="AU43" i="62"/>
  <c r="AV43" i="62"/>
  <c r="AS53" i="62"/>
  <c r="V6" i="63"/>
  <c r="F10" i="63"/>
  <c r="F12" i="63" s="1"/>
  <c r="AI28" i="62"/>
  <c r="AU29" i="62"/>
  <c r="AV29" i="62"/>
  <c r="AI41" i="62"/>
  <c r="AU41" i="62"/>
  <c r="AV41" i="62"/>
  <c r="AU34" i="62"/>
  <c r="AV34" i="62"/>
  <c r="AO53" i="62"/>
  <c r="AV32" i="62"/>
  <c r="AU32" i="62"/>
  <c r="AI29" i="62"/>
  <c r="AI21" i="62"/>
  <c r="U20" i="63"/>
  <c r="U19" i="63"/>
  <c r="AU31" i="62"/>
  <c r="AV31" i="62"/>
  <c r="K11" i="84"/>
  <c r="J12" i="86"/>
  <c r="S37" i="85"/>
  <c r="J24" i="86"/>
  <c r="S12" i="85"/>
  <c r="AG53" i="65"/>
  <c r="AG54" i="65" s="1"/>
  <c r="M60" i="65" s="1"/>
  <c r="S12" i="86"/>
  <c r="S24" i="86"/>
  <c r="AF54" i="65"/>
  <c r="L60" i="65" s="1"/>
  <c r="AI17" i="65"/>
  <c r="AD53" i="65"/>
  <c r="K37" i="86"/>
  <c r="J37" i="86"/>
  <c r="AV50" i="65"/>
  <c r="AU50" i="65"/>
  <c r="AM53" i="65"/>
  <c r="J12" i="85"/>
  <c r="AI26" i="65"/>
  <c r="AI31" i="65"/>
  <c r="AV42" i="65"/>
  <c r="AU42" i="65"/>
  <c r="AJ53" i="65"/>
  <c r="S24" i="85"/>
  <c r="AV34" i="65"/>
  <c r="AU34" i="65"/>
  <c r="J37" i="85"/>
  <c r="AV31" i="65"/>
  <c r="AU31" i="65"/>
  <c r="K11" i="87"/>
  <c r="AU46" i="65"/>
  <c r="AV46" i="65"/>
  <c r="AU19" i="65"/>
  <c r="AV19" i="65" s="1"/>
  <c r="AQ53" i="65"/>
  <c r="AI21" i="65"/>
  <c r="AI39" i="65"/>
  <c r="S37" i="86"/>
  <c r="AO53" i="65"/>
  <c r="AR53" i="65"/>
  <c r="AI29" i="65"/>
  <c r="AV29" i="65"/>
  <c r="AU29" i="65"/>
  <c r="AI45" i="65"/>
  <c r="J24" i="85"/>
  <c r="AH53" i="65"/>
  <c r="AV39" i="65"/>
  <c r="AU39" i="65"/>
  <c r="AN53" i="65"/>
  <c r="AU21" i="65"/>
  <c r="AV21" i="65"/>
  <c r="AI50" i="65"/>
  <c r="AP53" i="65"/>
  <c r="AS53" i="65"/>
  <c r="AV45" i="65"/>
  <c r="AU45" i="65"/>
  <c r="AI46" i="65"/>
  <c r="AU26" i="65"/>
  <c r="AV26" i="65"/>
  <c r="AI19" i="65"/>
  <c r="AI42" i="65"/>
  <c r="J23" i="85"/>
  <c r="AF53" i="68"/>
  <c r="AF54" i="68" s="1"/>
  <c r="L60" i="68" s="1"/>
  <c r="AO53" i="68"/>
  <c r="AO54" i="68" s="1"/>
  <c r="AE53" i="68"/>
  <c r="AE54" i="68" s="1"/>
  <c r="K60" i="68" s="1"/>
  <c r="AI50" i="68"/>
  <c r="J12" i="69"/>
  <c r="G12" i="69"/>
  <c r="H12" i="69"/>
  <c r="AI34" i="68"/>
  <c r="K10" i="84"/>
  <c r="AI29" i="68"/>
  <c r="I12" i="69"/>
  <c r="AQ53" i="68"/>
  <c r="AQ54" i="68" s="1"/>
  <c r="AI40" i="68"/>
  <c r="AI37" i="68"/>
  <c r="AI46" i="68"/>
  <c r="AH53" i="68"/>
  <c r="AH54" i="68" s="1"/>
  <c r="N60" i="68" s="1"/>
  <c r="J11" i="86"/>
  <c r="J11" i="85"/>
  <c r="AR53" i="68"/>
  <c r="AR54" i="68" s="1"/>
  <c r="AS53" i="68"/>
  <c r="AS54" i="68" s="1"/>
  <c r="AU19" i="68"/>
  <c r="S36" i="86"/>
  <c r="AI32" i="68"/>
  <c r="AU45" i="68"/>
  <c r="AJ53" i="68"/>
  <c r="AJ55" i="68" s="1"/>
  <c r="K68" i="68" s="1"/>
  <c r="K72" i="68" s="1"/>
  <c r="K10" i="87"/>
  <c r="S36" i="85"/>
  <c r="AI21" i="68"/>
  <c r="AV22" i="68"/>
  <c r="AU22" i="68"/>
  <c r="AU40" i="68"/>
  <c r="AV40" i="68"/>
  <c r="AI24" i="68"/>
  <c r="AI25" i="68"/>
  <c r="AV44" i="68"/>
  <c r="AU44" i="68"/>
  <c r="AU21" i="68"/>
  <c r="AV21" i="68"/>
  <c r="AV35" i="68"/>
  <c r="AU35" i="68"/>
  <c r="AV36" i="68"/>
  <c r="AU36" i="68"/>
  <c r="AV33" i="68"/>
  <c r="AU33" i="68"/>
  <c r="AP53" i="68"/>
  <c r="AI44" i="68"/>
  <c r="S23" i="85"/>
  <c r="AI23" i="68"/>
  <c r="AI36" i="68"/>
  <c r="AU46" i="68"/>
  <c r="AV46" i="68"/>
  <c r="AV25" i="68"/>
  <c r="AU25" i="68"/>
  <c r="AV43" i="68"/>
  <c r="AU43" i="68"/>
  <c r="AI43" i="68"/>
  <c r="AD19" i="68"/>
  <c r="J23" i="86"/>
  <c r="AI20" i="68"/>
  <c r="AI39" i="68"/>
  <c r="AV24" i="68"/>
  <c r="AU24" i="68"/>
  <c r="AI35" i="68"/>
  <c r="AU37" i="68"/>
  <c r="AV37" i="68"/>
  <c r="AU50" i="68"/>
  <c r="AV50" i="68"/>
  <c r="AI22" i="68"/>
  <c r="AI51" i="68"/>
  <c r="AV20" i="68"/>
  <c r="AU20" i="68"/>
  <c r="AN53" i="68"/>
  <c r="AV51" i="68"/>
  <c r="AU51" i="68"/>
  <c r="AI33" i="68"/>
  <c r="AU18" i="68"/>
  <c r="AV18" i="68" s="1"/>
  <c r="AL18" i="68" s="1"/>
  <c r="AV23" i="68"/>
  <c r="AU23" i="68"/>
  <c r="AV39" i="68"/>
  <c r="AU39" i="68"/>
  <c r="AM53" i="68"/>
  <c r="AV42" i="71"/>
  <c r="AU42" i="71"/>
  <c r="AV35" i="71"/>
  <c r="AU35" i="71"/>
  <c r="AV37" i="71"/>
  <c r="AU37" i="71"/>
  <c r="AV41" i="71"/>
  <c r="AU41" i="71"/>
  <c r="AV44" i="71"/>
  <c r="AU44" i="71"/>
  <c r="AV30" i="71"/>
  <c r="AU30" i="71"/>
  <c r="AU46" i="71"/>
  <c r="AV46" i="71"/>
  <c r="AU45" i="71"/>
  <c r="AV45" i="71"/>
  <c r="AV32" i="71"/>
  <c r="AU32" i="71"/>
  <c r="AU24" i="71"/>
  <c r="AV24" i="71"/>
  <c r="AU22" i="71"/>
  <c r="AV22" i="71"/>
  <c r="AV20" i="71"/>
  <c r="AU20" i="71"/>
  <c r="AU21" i="71"/>
  <c r="AV21" i="71"/>
  <c r="AG53" i="68"/>
  <c r="AI17" i="68"/>
  <c r="AU17" i="68"/>
  <c r="AV18" i="56" l="1"/>
  <c r="AQ55" i="59"/>
  <c r="M70" i="59" s="1"/>
  <c r="AI27" i="71"/>
  <c r="AK54" i="59"/>
  <c r="AI46" i="71"/>
  <c r="AI30" i="71"/>
  <c r="AI49" i="71"/>
  <c r="AI29" i="71"/>
  <c r="AV27" i="71"/>
  <c r="AU27" i="71"/>
  <c r="AU29" i="71"/>
  <c r="AV29" i="71"/>
  <c r="AV17" i="56"/>
  <c r="AL17" i="56" s="1"/>
  <c r="AS54" i="59"/>
  <c r="AI35" i="71"/>
  <c r="AI40" i="71"/>
  <c r="AI33" i="71"/>
  <c r="AU43" i="71"/>
  <c r="AV43" i="71"/>
  <c r="AV49" i="71"/>
  <c r="AU49" i="71"/>
  <c r="AV17" i="47"/>
  <c r="AL17" i="47" s="1"/>
  <c r="AP54" i="59"/>
  <c r="AR54" i="81"/>
  <c r="AI18" i="65"/>
  <c r="AV18" i="65" s="1"/>
  <c r="AL18" i="65" s="1"/>
  <c r="AN55" i="59"/>
  <c r="O68" i="59" s="1"/>
  <c r="O72" i="59" s="1"/>
  <c r="AO55" i="47"/>
  <c r="K70" i="47" s="1"/>
  <c r="AV19" i="81"/>
  <c r="AL19" i="81" s="1"/>
  <c r="AN54" i="81"/>
  <c r="AL18" i="56"/>
  <c r="AM18" i="56"/>
  <c r="AM53" i="56" s="1"/>
  <c r="U53" i="56"/>
  <c r="AO55" i="59"/>
  <c r="K70" i="59" s="1"/>
  <c r="AE54" i="59"/>
  <c r="K60" i="59" s="1"/>
  <c r="AV17" i="65"/>
  <c r="AK19" i="47"/>
  <c r="AK53" i="47" s="1"/>
  <c r="AK55" i="47" s="1"/>
  <c r="L68" i="47" s="1"/>
  <c r="L72" i="47" s="1"/>
  <c r="AL19" i="47"/>
  <c r="AL18" i="47"/>
  <c r="AM18" i="47"/>
  <c r="AM53" i="47" s="1"/>
  <c r="AM54" i="47" s="1"/>
  <c r="AI53" i="47"/>
  <c r="AI55" i="47"/>
  <c r="AI56" i="47" s="1"/>
  <c r="AA53" i="47"/>
  <c r="AG54" i="47"/>
  <c r="M60" i="47" s="1"/>
  <c r="AD54" i="47"/>
  <c r="J60" i="47" s="1"/>
  <c r="AP55" i="47"/>
  <c r="L70" i="47" s="1"/>
  <c r="AP54" i="47"/>
  <c r="AF54" i="47"/>
  <c r="L60" i="47" s="1"/>
  <c r="AQ55" i="47"/>
  <c r="M70" i="47" s="1"/>
  <c r="AQ54" i="47"/>
  <c r="AN55" i="47"/>
  <c r="O68" i="47" s="1"/>
  <c r="O72" i="47" s="1"/>
  <c r="AN54" i="47"/>
  <c r="AE54" i="47"/>
  <c r="K60" i="47" s="1"/>
  <c r="R53" i="47"/>
  <c r="AJ54" i="47"/>
  <c r="AJ55" i="47"/>
  <c r="K68" i="47" s="1"/>
  <c r="K72" i="47" s="1"/>
  <c r="AS54" i="47"/>
  <c r="AS55" i="47"/>
  <c r="O70" i="47" s="1"/>
  <c r="AR54" i="47"/>
  <c r="AR55" i="47"/>
  <c r="N70" i="47" s="1"/>
  <c r="AK19" i="81"/>
  <c r="AK53" i="81" s="1"/>
  <c r="U53" i="81"/>
  <c r="AL18" i="81"/>
  <c r="AM18" i="81"/>
  <c r="AM53" i="81" s="1"/>
  <c r="AI55" i="81"/>
  <c r="AI56" i="81" s="1"/>
  <c r="AI53" i="81"/>
  <c r="AL17" i="81"/>
  <c r="AJ55" i="81"/>
  <c r="K68" i="81" s="1"/>
  <c r="K72" i="81" s="1"/>
  <c r="AJ54" i="81"/>
  <c r="AQ54" i="81"/>
  <c r="AQ55" i="81"/>
  <c r="M70" i="81" s="1"/>
  <c r="R53" i="81"/>
  <c r="X53" i="81"/>
  <c r="X55" i="81" s="1"/>
  <c r="AO55" i="81"/>
  <c r="K70" i="81" s="1"/>
  <c r="AO54" i="81"/>
  <c r="AD54" i="81"/>
  <c r="J60" i="81" s="1"/>
  <c r="AK19" i="56"/>
  <c r="AK53" i="56" s="1"/>
  <c r="AL19" i="56"/>
  <c r="AI55" i="56"/>
  <c r="AI56" i="56" s="1"/>
  <c r="AI53" i="56"/>
  <c r="AD54" i="56"/>
  <c r="J60" i="56" s="1"/>
  <c r="AP54" i="56"/>
  <c r="AP55" i="56"/>
  <c r="L70" i="56" s="1"/>
  <c r="AR55" i="56"/>
  <c r="N70" i="56" s="1"/>
  <c r="AR54" i="56"/>
  <c r="R53" i="56"/>
  <c r="AN55" i="56"/>
  <c r="O68" i="56" s="1"/>
  <c r="O72" i="56" s="1"/>
  <c r="AN54" i="56"/>
  <c r="AG54" i="56"/>
  <c r="M60" i="56" s="1"/>
  <c r="AO55" i="56"/>
  <c r="K70" i="56" s="1"/>
  <c r="AO54" i="56"/>
  <c r="AJ55" i="56"/>
  <c r="K68" i="56" s="1"/>
  <c r="K72" i="56" s="1"/>
  <c r="AJ54" i="56"/>
  <c r="AQ55" i="56"/>
  <c r="M70" i="56" s="1"/>
  <c r="AQ54" i="56"/>
  <c r="AS54" i="56"/>
  <c r="AS55" i="56"/>
  <c r="O70" i="56" s="1"/>
  <c r="U53" i="59"/>
  <c r="O53" i="59"/>
  <c r="AL18" i="59"/>
  <c r="AL53" i="59" s="1"/>
  <c r="AM18" i="59"/>
  <c r="AM53" i="59" s="1"/>
  <c r="X53" i="59"/>
  <c r="AA53" i="59"/>
  <c r="AI53" i="59"/>
  <c r="AI55" i="59"/>
  <c r="AI56" i="59" s="1"/>
  <c r="AV19" i="62"/>
  <c r="AI18" i="62"/>
  <c r="AG54" i="62"/>
  <c r="M60" i="62" s="1"/>
  <c r="AS55" i="62"/>
  <c r="O70" i="62" s="1"/>
  <c r="AS54" i="62"/>
  <c r="AD54" i="62"/>
  <c r="J60" i="62" s="1"/>
  <c r="AJ54" i="62"/>
  <c r="AJ55" i="62"/>
  <c r="K68" i="62" s="1"/>
  <c r="K72" i="62" s="1"/>
  <c r="AR55" i="62"/>
  <c r="N70" i="62" s="1"/>
  <c r="AR54" i="62"/>
  <c r="AQ55" i="62"/>
  <c r="M70" i="62" s="1"/>
  <c r="AQ54" i="62"/>
  <c r="AH54" i="62"/>
  <c r="N60" i="62" s="1"/>
  <c r="AE53" i="62"/>
  <c r="AO55" i="62"/>
  <c r="K70" i="62" s="1"/>
  <c r="AO54" i="62"/>
  <c r="AP55" i="62"/>
  <c r="L70" i="62" s="1"/>
  <c r="AP54" i="62"/>
  <c r="AN55" i="62"/>
  <c r="O68" i="62" s="1"/>
  <c r="O72" i="62" s="1"/>
  <c r="AN54" i="62"/>
  <c r="U53" i="62"/>
  <c r="AU18" i="62"/>
  <c r="AU17" i="62"/>
  <c r="AV17" i="62" s="1"/>
  <c r="AK19" i="65"/>
  <c r="AK53" i="65" s="1"/>
  <c r="AK55" i="65" s="1"/>
  <c r="L68" i="65" s="1"/>
  <c r="L72" i="65" s="1"/>
  <c r="AL19" i="65"/>
  <c r="U53" i="65"/>
  <c r="R53" i="65"/>
  <c r="AS54" i="65"/>
  <c r="AS55" i="65"/>
  <c r="O70" i="65" s="1"/>
  <c r="AP54" i="65"/>
  <c r="AP55" i="65"/>
  <c r="L70" i="65" s="1"/>
  <c r="X53" i="65"/>
  <c r="AN55" i="65"/>
  <c r="O68" i="65" s="1"/>
  <c r="O72" i="65" s="1"/>
  <c r="AN54" i="65"/>
  <c r="AR55" i="65"/>
  <c r="N70" i="65" s="1"/>
  <c r="AR54" i="65"/>
  <c r="AM55" i="65"/>
  <c r="N68" i="65" s="1"/>
  <c r="N72" i="65" s="1"/>
  <c r="AM54" i="65"/>
  <c r="AO55" i="65"/>
  <c r="K70" i="65" s="1"/>
  <c r="AO54" i="65"/>
  <c r="AJ55" i="65"/>
  <c r="K68" i="65" s="1"/>
  <c r="K72" i="65" s="1"/>
  <c r="AJ54" i="65"/>
  <c r="AH54" i="65"/>
  <c r="N60" i="65" s="1"/>
  <c r="AQ54" i="65"/>
  <c r="AQ55" i="65"/>
  <c r="M70" i="65" s="1"/>
  <c r="AD54" i="65"/>
  <c r="J60" i="65" s="1"/>
  <c r="AO55" i="68"/>
  <c r="K70" i="68" s="1"/>
  <c r="AQ55" i="68"/>
  <c r="M70" i="68" s="1"/>
  <c r="AA53" i="68"/>
  <c r="AS55" i="68"/>
  <c r="O70" i="68" s="1"/>
  <c r="AJ54" i="68"/>
  <c r="AR55" i="68"/>
  <c r="N70" i="68" s="1"/>
  <c r="R53" i="68"/>
  <c r="AM55" i="68"/>
  <c r="N68" i="68" s="1"/>
  <c r="N72" i="68" s="1"/>
  <c r="AM54" i="68"/>
  <c r="AI19" i="68"/>
  <c r="AV19" i="68" s="1"/>
  <c r="AD53" i="68"/>
  <c r="AN55" i="68"/>
  <c r="O68" i="68" s="1"/>
  <c r="O72" i="68" s="1"/>
  <c r="AN54" i="68"/>
  <c r="U53" i="68"/>
  <c r="AP55" i="68"/>
  <c r="L70" i="68" s="1"/>
  <c r="AP54" i="68"/>
  <c r="AV17" i="68"/>
  <c r="AL17" i="68" s="1"/>
  <c r="AG54" i="68"/>
  <c r="M60" i="68" s="1"/>
  <c r="AI54" i="59" l="1"/>
  <c r="AV53" i="59" s="1"/>
  <c r="O60" i="59" s="1"/>
  <c r="X53" i="56"/>
  <c r="X55" i="56" s="1"/>
  <c r="AI53" i="65"/>
  <c r="AL17" i="65"/>
  <c r="AI55" i="65"/>
  <c r="AI56" i="65" s="1"/>
  <c r="AI54" i="65" s="1"/>
  <c r="AV53" i="65" s="1"/>
  <c r="O60" i="65" s="1"/>
  <c r="AM55" i="47"/>
  <c r="N68" i="47" s="1"/>
  <c r="N72" i="47" s="1"/>
  <c r="AL53" i="81"/>
  <c r="AL54" i="81" s="1"/>
  <c r="AM54" i="56"/>
  <c r="AM55" i="56"/>
  <c r="N68" i="56" s="1"/>
  <c r="N72" i="56" s="1"/>
  <c r="R53" i="59"/>
  <c r="O55" i="59" s="1"/>
  <c r="AV18" i="62"/>
  <c r="AK54" i="47"/>
  <c r="AL53" i="47"/>
  <c r="AL55" i="47" s="1"/>
  <c r="M68" i="47" s="1"/>
  <c r="M72" i="47" s="1"/>
  <c r="X53" i="47"/>
  <c r="X55" i="47" s="1"/>
  <c r="U53" i="47"/>
  <c r="AI54" i="47"/>
  <c r="AV53" i="47" s="1"/>
  <c r="O60" i="47" s="1"/>
  <c r="O53" i="47"/>
  <c r="AK54" i="81"/>
  <c r="AK55" i="81"/>
  <c r="L68" i="81" s="1"/>
  <c r="L72" i="81" s="1"/>
  <c r="AM54" i="81"/>
  <c r="AM55" i="81"/>
  <c r="N68" i="81" s="1"/>
  <c r="N72" i="81" s="1"/>
  <c r="AI54" i="81"/>
  <c r="AV53" i="81" s="1"/>
  <c r="O60" i="81" s="1"/>
  <c r="O53" i="81"/>
  <c r="O55" i="81" s="1"/>
  <c r="AL53" i="56"/>
  <c r="AL54" i="56" s="1"/>
  <c r="AK54" i="56"/>
  <c r="AK55" i="56"/>
  <c r="L68" i="56" s="1"/>
  <c r="L72" i="56" s="1"/>
  <c r="AI54" i="56"/>
  <c r="AV53" i="56" s="1"/>
  <c r="O60" i="56" s="1"/>
  <c r="O53" i="56"/>
  <c r="O55" i="56" s="1"/>
  <c r="X55" i="59"/>
  <c r="AM54" i="59"/>
  <c r="AM55" i="59"/>
  <c r="N68" i="59" s="1"/>
  <c r="N72" i="59" s="1"/>
  <c r="AL54" i="59"/>
  <c r="AL55" i="59"/>
  <c r="M68" i="59" s="1"/>
  <c r="M72" i="59" s="1"/>
  <c r="AK19" i="62"/>
  <c r="AK53" i="62" s="1"/>
  <c r="AL19" i="62"/>
  <c r="AL18" i="62"/>
  <c r="AM18" i="62"/>
  <c r="AM53" i="62" s="1"/>
  <c r="AI53" i="62"/>
  <c r="AI55" i="62"/>
  <c r="AI56" i="62" s="1"/>
  <c r="AL17" i="62"/>
  <c r="AL53" i="62" s="1"/>
  <c r="AA53" i="62"/>
  <c r="AE54" i="62"/>
  <c r="K60" i="62" s="1"/>
  <c r="O53" i="62"/>
  <c r="X53" i="62"/>
  <c r="AL53" i="65"/>
  <c r="AL54" i="65" s="1"/>
  <c r="O53" i="65"/>
  <c r="O55" i="65" s="1"/>
  <c r="AK54" i="65"/>
  <c r="AA53" i="65"/>
  <c r="X55" i="65" s="1"/>
  <c r="AK19" i="68"/>
  <c r="AK53" i="68" s="1"/>
  <c r="AK55" i="68" s="1"/>
  <c r="L68" i="68" s="1"/>
  <c r="L72" i="68" s="1"/>
  <c r="AL19" i="68"/>
  <c r="AL53" i="68" s="1"/>
  <c r="X53" i="68"/>
  <c r="X55" i="68" s="1"/>
  <c r="AD54" i="68"/>
  <c r="J60" i="68" s="1"/>
  <c r="O53" i="68"/>
  <c r="O55" i="68" s="1"/>
  <c r="AI53" i="68"/>
  <c r="AI55" i="68"/>
  <c r="AI56" i="68" s="1"/>
  <c r="AL54" i="47" l="1"/>
  <c r="AL55" i="81"/>
  <c r="M68" i="81" s="1"/>
  <c r="M72" i="81" s="1"/>
  <c r="O55" i="47"/>
  <c r="AL55" i="56"/>
  <c r="M68" i="56" s="1"/>
  <c r="M72" i="56" s="1"/>
  <c r="R53" i="62"/>
  <c r="O55" i="62" s="1"/>
  <c r="AK55" i="62"/>
  <c r="L68" i="62" s="1"/>
  <c r="L72" i="62" s="1"/>
  <c r="AK54" i="62"/>
  <c r="X55" i="62"/>
  <c r="AM55" i="62"/>
  <c r="N68" i="62" s="1"/>
  <c r="N72" i="62" s="1"/>
  <c r="AM54" i="62"/>
  <c r="AI54" i="62"/>
  <c r="AV53" i="62" s="1"/>
  <c r="O60" i="62" s="1"/>
  <c r="AL55" i="62"/>
  <c r="M68" i="62" s="1"/>
  <c r="M72" i="62" s="1"/>
  <c r="AL54" i="62"/>
  <c r="AL55" i="65"/>
  <c r="M68" i="65" s="1"/>
  <c r="M72" i="65" s="1"/>
  <c r="AL55" i="68"/>
  <c r="M68" i="68" s="1"/>
  <c r="M72" i="68" s="1"/>
  <c r="AL54" i="68"/>
  <c r="AK54" i="68"/>
  <c r="AI54" i="68"/>
  <c r="AV53" i="68" s="1"/>
  <c r="O60" i="68" s="1"/>
  <c r="F17" i="78"/>
  <c r="I17" i="78"/>
  <c r="K17" i="78" s="1"/>
  <c r="AC17" i="78" l="1"/>
  <c r="Z17" i="78"/>
  <c r="W17" i="78"/>
  <c r="Q17" i="78"/>
  <c r="T17" i="78"/>
  <c r="U4" i="79"/>
  <c r="J17" i="78"/>
  <c r="V8" i="79" l="1"/>
  <c r="G10" i="79"/>
  <c r="V6" i="79"/>
  <c r="F10" i="79"/>
  <c r="V10" i="79"/>
  <c r="H10" i="79"/>
  <c r="I10" i="79"/>
  <c r="V12" i="79"/>
  <c r="V14" i="79"/>
  <c r="J10" i="79"/>
  <c r="M65" i="78"/>
  <c r="M67" i="78" s="1"/>
  <c r="M71" i="78" s="1"/>
  <c r="N65" i="78"/>
  <c r="N67" i="78" s="1"/>
  <c r="N71" i="78" s="1"/>
  <c r="AR17" i="78"/>
  <c r="AR53" i="78" s="1"/>
  <c r="AM17" i="78"/>
  <c r="AM53" i="78" s="1"/>
  <c r="L66" i="78"/>
  <c r="L69" i="78" s="1"/>
  <c r="AF17" i="78"/>
  <c r="AF53" i="78" s="1"/>
  <c r="N66" i="78"/>
  <c r="N69" i="78" s="1"/>
  <c r="T4" i="79"/>
  <c r="AQ17" i="78"/>
  <c r="AQ53" i="78" s="1"/>
  <c r="K65" i="78"/>
  <c r="K67" i="78" s="1"/>
  <c r="K71" i="78" s="1"/>
  <c r="K66" i="78"/>
  <c r="K69" i="78" s="1"/>
  <c r="AP17" i="78"/>
  <c r="AP53" i="78" s="1"/>
  <c r="O66" i="78"/>
  <c r="O69" i="78" s="1"/>
  <c r="AS17" i="78"/>
  <c r="AS53" i="78" s="1"/>
  <c r="AJ17" i="78"/>
  <c r="AJ53" i="78" s="1"/>
  <c r="K10" i="79"/>
  <c r="L12" i="79" s="1"/>
  <c r="K12" i="79" s="1"/>
  <c r="AO17" i="78"/>
  <c r="AO53" i="78" s="1"/>
  <c r="M66" i="78"/>
  <c r="M69" i="78" s="1"/>
  <c r="O65" i="78"/>
  <c r="O67" i="78" s="1"/>
  <c r="O71" i="78" s="1"/>
  <c r="L65" i="78"/>
  <c r="L67" i="78" s="1"/>
  <c r="L71" i="78" s="1"/>
  <c r="AN17" i="78"/>
  <c r="AN53" i="78" s="1"/>
  <c r="AE17" i="78"/>
  <c r="AE53" i="78" s="1"/>
  <c r="AK17" i="78"/>
  <c r="AK53" i="78" s="1"/>
  <c r="AD17" i="78"/>
  <c r="AG17" i="78"/>
  <c r="AG53" i="78" s="1"/>
  <c r="AH17" i="78"/>
  <c r="AH53" i="78" s="1"/>
  <c r="U20" i="79"/>
  <c r="U19" i="79"/>
  <c r="I12" i="79" l="1"/>
  <c r="H12" i="79"/>
  <c r="J12" i="79"/>
  <c r="G12" i="79"/>
  <c r="AM54" i="78"/>
  <c r="AM55" i="78"/>
  <c r="N68" i="78" s="1"/>
  <c r="N72" i="78" s="1"/>
  <c r="AG54" i="78"/>
  <c r="M60" i="78" s="1"/>
  <c r="AO55" i="78"/>
  <c r="K70" i="78" s="1"/>
  <c r="AO54" i="78"/>
  <c r="AQ54" i="78"/>
  <c r="AQ55" i="78"/>
  <c r="M70" i="78" s="1"/>
  <c r="AU17" i="78"/>
  <c r="AV17" i="78"/>
  <c r="AD53" i="78"/>
  <c r="AI17" i="78"/>
  <c r="F12" i="79"/>
  <c r="AR55" i="78"/>
  <c r="N70" i="78" s="1"/>
  <c r="AR54" i="78"/>
  <c r="AA53" i="78"/>
  <c r="AH54" i="78"/>
  <c r="N60" i="78" s="1"/>
  <c r="AP55" i="78"/>
  <c r="L70" i="78" s="1"/>
  <c r="AP54" i="78"/>
  <c r="AJ54" i="78"/>
  <c r="AJ55" i="78"/>
  <c r="K68" i="78" s="1"/>
  <c r="K72" i="78" s="1"/>
  <c r="AS54" i="78"/>
  <c r="AS55" i="78"/>
  <c r="O70" i="78" s="1"/>
  <c r="AK54" i="78"/>
  <c r="AK55" i="78"/>
  <c r="L68" i="78" s="1"/>
  <c r="L72" i="78" s="1"/>
  <c r="AE54" i="78"/>
  <c r="K60" i="78" s="1"/>
  <c r="R53" i="78"/>
  <c r="AF54" i="78"/>
  <c r="L60" i="78" s="1"/>
  <c r="AN54" i="78"/>
  <c r="AN55" i="78"/>
  <c r="O68" i="78" s="1"/>
  <c r="O72" i="78" s="1"/>
  <c r="U53" i="78" l="1"/>
  <c r="X53" i="78"/>
  <c r="X55" i="78" s="1"/>
  <c r="AD54" i="78"/>
  <c r="J60" i="78" s="1"/>
  <c r="O53" i="78"/>
  <c r="AI55" i="78"/>
  <c r="AI56" i="78" s="1"/>
  <c r="AI53" i="78"/>
  <c r="AL17" i="78"/>
  <c r="AL53" i="78" s="1"/>
  <c r="O55" i="78" l="1"/>
  <c r="AL54" i="78"/>
  <c r="AL55" i="78"/>
  <c r="M68" i="78" s="1"/>
  <c r="M72" i="78" s="1"/>
  <c r="AI54" i="78"/>
  <c r="AV53" i="78" s="1"/>
  <c r="O60" i="78" s="1"/>
  <c r="F17" i="71"/>
  <c r="I17" i="71" s="1"/>
  <c r="K17" i="71" l="1"/>
  <c r="J17" i="71"/>
  <c r="AT17" i="71" l="1"/>
  <c r="AK17" i="71"/>
  <c r="AS17" i="71"/>
  <c r="AE17" i="71"/>
  <c r="AM17" i="71"/>
  <c r="AD17" i="71"/>
  <c r="AF17" i="71"/>
  <c r="AN17" i="71"/>
  <c r="AG17" i="71"/>
  <c r="AH17" i="71"/>
  <c r="AJ17" i="71"/>
  <c r="AO17" i="71"/>
  <c r="AP17" i="71"/>
  <c r="AQ17" i="71"/>
  <c r="AR17" i="71"/>
  <c r="Q17" i="71"/>
  <c r="W17" i="71"/>
  <c r="T17" i="71"/>
  <c r="AC17" i="71"/>
  <c r="Z17" i="71"/>
  <c r="AI17" i="71" l="1"/>
  <c r="AU17" i="71"/>
  <c r="AV17" i="71" s="1"/>
  <c r="AL17" i="71" l="1"/>
  <c r="F19" i="71"/>
  <c r="I19" i="71" s="1"/>
  <c r="K19" i="71" s="1"/>
  <c r="F18" i="71"/>
  <c r="I18" i="71" s="1"/>
  <c r="J18" i="71" s="1"/>
  <c r="AT18" i="71" l="1"/>
  <c r="AK18" i="71"/>
  <c r="AS18" i="71"/>
  <c r="AM18" i="71"/>
  <c r="AN18" i="71"/>
  <c r="AO18" i="71"/>
  <c r="AJ18" i="71"/>
  <c r="AP18" i="71"/>
  <c r="AQ18" i="71"/>
  <c r="AR18" i="71"/>
  <c r="Q19" i="71"/>
  <c r="X8" i="87"/>
  <c r="Y8" i="87" s="1"/>
  <c r="O22" i="86"/>
  <c r="P22" i="86" s="1"/>
  <c r="T19" i="71"/>
  <c r="Y22" i="86"/>
  <c r="Z22" i="86" s="1"/>
  <c r="W19" i="71"/>
  <c r="Y35" i="86"/>
  <c r="Z35" i="86" s="1"/>
  <c r="O10" i="86"/>
  <c r="P10" i="86" s="1"/>
  <c r="O35" i="85"/>
  <c r="P35" i="85" s="1"/>
  <c r="O10" i="85"/>
  <c r="P10" i="85" s="1"/>
  <c r="Y22" i="85"/>
  <c r="Z22" i="85" s="1"/>
  <c r="X8" i="84"/>
  <c r="Y8" i="84" s="1"/>
  <c r="Y10" i="85"/>
  <c r="Z10" i="85" s="1"/>
  <c r="AC19" i="71"/>
  <c r="Y35" i="85"/>
  <c r="Z35" i="85" s="1"/>
  <c r="O22" i="85"/>
  <c r="P22" i="85" s="1"/>
  <c r="Z19" i="71"/>
  <c r="O35" i="86"/>
  <c r="P35" i="86" s="1"/>
  <c r="Y10" i="86"/>
  <c r="Z10" i="86" s="1"/>
  <c r="T4" i="72"/>
  <c r="K10" i="72"/>
  <c r="L12" i="72" s="1"/>
  <c r="K12" i="72" s="1"/>
  <c r="J19" i="71"/>
  <c r="K18" i="71"/>
  <c r="AT19" i="71" l="1"/>
  <c r="AS19" i="71"/>
  <c r="AD19" i="71"/>
  <c r="AL19" i="71"/>
  <c r="AF19" i="71"/>
  <c r="AN19" i="71"/>
  <c r="AN53" i="71" s="1"/>
  <c r="AE19" i="71"/>
  <c r="AQ19" i="71"/>
  <c r="AJ19" i="71"/>
  <c r="AG19" i="71"/>
  <c r="AR19" i="71"/>
  <c r="AH19" i="71"/>
  <c r="AP19" i="71"/>
  <c r="AP53" i="71" s="1"/>
  <c r="AO19" i="71"/>
  <c r="AO53" i="71" s="1"/>
  <c r="AM19" i="71"/>
  <c r="AQ53" i="71"/>
  <c r="AJ53" i="71"/>
  <c r="AS53" i="71"/>
  <c r="AR53" i="71"/>
  <c r="AM53" i="71"/>
  <c r="M10" i="86"/>
  <c r="L10" i="86" s="1"/>
  <c r="K10" i="86" s="1"/>
  <c r="M35" i="86"/>
  <c r="L35" i="86" s="1"/>
  <c r="K35" i="86" s="1"/>
  <c r="V8" i="84"/>
  <c r="M9" i="84" s="1"/>
  <c r="L9" i="84" s="1"/>
  <c r="W22" i="86"/>
  <c r="V22" i="86" s="1"/>
  <c r="T22" i="86" s="1"/>
  <c r="M35" i="85"/>
  <c r="L35" i="85" s="1"/>
  <c r="K35" i="85" s="1"/>
  <c r="W10" i="85"/>
  <c r="V10" i="85" s="1"/>
  <c r="T10" i="85" s="1"/>
  <c r="W35" i="85"/>
  <c r="V35" i="85" s="1"/>
  <c r="T35" i="85" s="1"/>
  <c r="W35" i="86"/>
  <c r="V35" i="86" s="1"/>
  <c r="T35" i="86" s="1"/>
  <c r="V8" i="87"/>
  <c r="M9" i="87" s="1"/>
  <c r="L9" i="87" s="1"/>
  <c r="W22" i="85"/>
  <c r="V22" i="85" s="1"/>
  <c r="T22" i="85" s="1"/>
  <c r="M22" i="86"/>
  <c r="L22" i="86" s="1"/>
  <c r="K22" i="86" s="1"/>
  <c r="M22" i="85"/>
  <c r="L22" i="85" s="1"/>
  <c r="K22" i="85" s="1"/>
  <c r="W10" i="86"/>
  <c r="V10" i="86" s="1"/>
  <c r="T10" i="86" s="1"/>
  <c r="M10" i="85"/>
  <c r="L10" i="85" s="1"/>
  <c r="K10" i="85" s="1"/>
  <c r="N65" i="71"/>
  <c r="N67" i="71" s="1"/>
  <c r="N71" i="71" s="1"/>
  <c r="K65" i="71"/>
  <c r="K67" i="71" s="1"/>
  <c r="K71" i="71" s="1"/>
  <c r="M66" i="71"/>
  <c r="M69" i="71" s="1"/>
  <c r="N66" i="71"/>
  <c r="N69" i="71" s="1"/>
  <c r="L66" i="71"/>
  <c r="L69" i="71" s="1"/>
  <c r="O66" i="71"/>
  <c r="O69" i="71" s="1"/>
  <c r="M65" i="71"/>
  <c r="M67" i="71" s="1"/>
  <c r="M71" i="71" s="1"/>
  <c r="L65" i="71"/>
  <c r="L67" i="71" s="1"/>
  <c r="L71" i="71" s="1"/>
  <c r="O65" i="71"/>
  <c r="O67" i="71" s="1"/>
  <c r="O71" i="71" s="1"/>
  <c r="T18" i="71"/>
  <c r="AE18" i="71" s="1"/>
  <c r="AE53" i="71" s="1"/>
  <c r="AE54" i="71" s="1"/>
  <c r="AC18" i="71"/>
  <c r="AH18" i="71" s="1"/>
  <c r="Q18" i="71"/>
  <c r="AD18" i="71" s="1"/>
  <c r="Z18" i="71"/>
  <c r="AG18" i="71" s="1"/>
  <c r="AG53" i="71" s="1"/>
  <c r="AG54" i="71" s="1"/>
  <c r="U4" i="72"/>
  <c r="W18" i="71"/>
  <c r="AF18" i="71" s="1"/>
  <c r="K66" i="71"/>
  <c r="K69" i="71" s="1"/>
  <c r="AO55" i="71" l="1"/>
  <c r="AO54" i="71"/>
  <c r="AP55" i="71"/>
  <c r="AP54" i="71"/>
  <c r="AN54" i="71"/>
  <c r="AN55" i="71"/>
  <c r="O68" i="71" s="1"/>
  <c r="O72" i="71" s="1"/>
  <c r="AM54" i="71"/>
  <c r="AM55" i="71"/>
  <c r="AF53" i="71"/>
  <c r="AF54" i="71" s="1"/>
  <c r="AR55" i="71"/>
  <c r="AR54" i="71"/>
  <c r="AI19" i="71"/>
  <c r="AJ54" i="71"/>
  <c r="AJ55" i="71"/>
  <c r="AI18" i="71"/>
  <c r="AD53" i="71"/>
  <c r="AD54" i="71" s="1"/>
  <c r="AS54" i="71"/>
  <c r="AS55" i="71"/>
  <c r="AH53" i="71"/>
  <c r="AH54" i="71" s="1"/>
  <c r="AQ55" i="71"/>
  <c r="AQ54" i="71"/>
  <c r="J22" i="85"/>
  <c r="S10" i="86"/>
  <c r="J35" i="86"/>
  <c r="S22" i="85"/>
  <c r="K9" i="87"/>
  <c r="J10" i="85"/>
  <c r="K9" i="84"/>
  <c r="S22" i="86"/>
  <c r="J10" i="86"/>
  <c r="L70" i="71"/>
  <c r="N68" i="71"/>
  <c r="N72" i="71" s="1"/>
  <c r="K70" i="71"/>
  <c r="H10" i="72"/>
  <c r="H12" i="72" s="1"/>
  <c r="V10" i="72"/>
  <c r="N70" i="71"/>
  <c r="F10" i="72"/>
  <c r="F12" i="72" s="1"/>
  <c r="V6" i="72"/>
  <c r="M70" i="71"/>
  <c r="J35" i="85"/>
  <c r="O70" i="71"/>
  <c r="U19" i="72"/>
  <c r="U20" i="72"/>
  <c r="S35" i="85"/>
  <c r="S10" i="85"/>
  <c r="J10" i="72"/>
  <c r="J12" i="72" s="1"/>
  <c r="V14" i="72"/>
  <c r="AU19" i="71"/>
  <c r="V8" i="72"/>
  <c r="G10" i="72"/>
  <c r="G12" i="72" s="1"/>
  <c r="S35" i="86"/>
  <c r="V12" i="72"/>
  <c r="I10" i="72"/>
  <c r="I12" i="72" s="1"/>
  <c r="J22" i="86"/>
  <c r="K68" i="71"/>
  <c r="K72" i="71" s="1"/>
  <c r="AV19" i="71" l="1"/>
  <c r="AK19" i="71" s="1"/>
  <c r="AK53" i="71" s="1"/>
  <c r="N60" i="71"/>
  <c r="AA53" i="71"/>
  <c r="M60" i="71"/>
  <c r="K60" i="71"/>
  <c r="R53" i="71"/>
  <c r="L60" i="71"/>
  <c r="AU18" i="71"/>
  <c r="AV18" i="71" s="1"/>
  <c r="AI55" i="71" l="1"/>
  <c r="AI56" i="71" s="1"/>
  <c r="AI53" i="71"/>
  <c r="AL18" i="71"/>
  <c r="AL53" i="71" s="1"/>
  <c r="AK54" i="71"/>
  <c r="AK55" i="71"/>
  <c r="L68" i="71" s="1"/>
  <c r="L72" i="71" s="1"/>
  <c r="U53" i="71"/>
  <c r="X53" i="71"/>
  <c r="X55" i="71" s="1"/>
  <c r="J60" i="71"/>
  <c r="O53" i="71"/>
  <c r="AL55" i="71" l="1"/>
  <c r="AL54" i="71"/>
  <c r="AI54" i="71"/>
  <c r="O55" i="71"/>
  <c r="M68" i="71"/>
  <c r="M72" i="71" s="1"/>
  <c r="AV53" i="71"/>
  <c r="O60" i="71" s="1"/>
</calcChain>
</file>

<file path=xl/comments1.xml><?xml version="1.0" encoding="utf-8"?>
<comments xmlns="http://schemas.openxmlformats.org/spreadsheetml/2006/main">
  <authors>
    <author>Harrie Meinen</author>
  </authors>
  <commentList>
    <comment ref="C6" authorId="0" shapeId="0">
      <text>
        <r>
          <rPr>
            <b/>
            <sz val="10"/>
            <color indexed="81"/>
            <rFont val="Arial"/>
            <family val="2"/>
          </rPr>
          <t>vul in:
dd-mm-jjjj</t>
        </r>
      </text>
    </comment>
  </commentList>
</comments>
</file>

<file path=xl/comments10.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2.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3.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4.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5.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6.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7.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8.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comments9.xml><?xml version="1.0" encoding="utf-8"?>
<comments xmlns="http://schemas.openxmlformats.org/spreadsheetml/2006/main">
  <authors>
    <author>School</author>
  </authors>
  <commentList>
    <comment ref="N2" authorId="0" shapeId="0">
      <text>
        <r>
          <rPr>
            <sz val="10"/>
            <color indexed="81"/>
            <rFont val="Tahoma"/>
            <family val="2"/>
          </rPr>
          <t>De indicatoren:
1.1  De resultaten van de leerlingen aan het eind van de basisschool liggen ten minste op het niveau dat op grond van de kenmerken van de leerlingenpopulatie mag worden verwacht.
1.1.1 De taalresultaten van de leerlingen aan het eind van de basisschool liggen ten minste op het niveau dat op grond van kenmerken van de leerlingenpopulatie mag worden verwacht.
1.1.2  De rekenresultaten van de leerlingen aan het eind van de basisschool liggen ten minste op het niveau dat op grond van kenmerken van de leerlingenpopulatie mag worden verwacht.
1.2  De resultaten van de leerlingen voor Nederlandse taal en voor rekenen en wiskunde tijdens de schoolperiode liggen ten minste op het niveau dat op grond van de kenmerken van de leerlingenpopulatie mag worden verwacht.
1.3  De leerlingen doorlopen in beginsel de school binnen de verwachte periode van 8 jaar.
1.4  Leerlingen met specifieke onderwijsbehoeften ontwikkelen zich naar hun mogelijkheden.
1.5  De sociale competenties van de leerlingen liggen op een niveau dat mag worden verwacht.
1.6  De adviezen van de leerlingen voor het vervolgonderwijs zijn in overeenstemming met de verwachtingen op grond van de kenmerken van de leerlingenpopulatie.
1.7  De leerlingen functioneren naar verwachting in het vervolgonderwijs.</t>
        </r>
        <r>
          <rPr>
            <sz val="8"/>
            <color indexed="81"/>
            <rFont val="Tahoma"/>
          </rPr>
          <t xml:space="preserve">
</t>
        </r>
      </text>
    </comment>
    <comment ref="C9" authorId="0" shapeId="0">
      <text>
        <r>
          <rPr>
            <b/>
            <sz val="10"/>
            <color indexed="81"/>
            <rFont val="Tahoma"/>
            <family val="2"/>
          </rPr>
          <t xml:space="preserve">Wat kunnen we van de leerling verwachten?
</t>
        </r>
        <r>
          <rPr>
            <sz val="10"/>
            <color indexed="81"/>
            <rFont val="Tahoma"/>
            <family val="2"/>
          </rPr>
          <t>A = goed / zeer goed
B = voldoende / goed
C = matig / net voldoende
D = zwak / matig
E = zeer zwak / zwak</t>
        </r>
      </text>
    </comment>
    <comment ref="E9" authorId="0" shapeId="0">
      <text>
        <r>
          <rPr>
            <b/>
            <sz val="10"/>
            <color indexed="81"/>
            <rFont val="Tahoma"/>
            <family val="2"/>
          </rPr>
          <t xml:space="preserve">Intelligentie Quotiënt (IQ)
</t>
        </r>
        <r>
          <rPr>
            <sz val="10"/>
            <color indexed="81"/>
            <rFont val="Tahoma"/>
            <family val="2"/>
          </rPr>
          <t>A+  111- 130 --&gt; VWO
A = 104- 110 --&gt; HAVO
B =    96-103 --&gt; TL
C =    86-  95 --&gt; KT
D =    70-  85 --&gt; BB
E =    …. - 69 --&gt; PrO</t>
        </r>
        <r>
          <rPr>
            <b/>
            <sz val="10"/>
            <color indexed="81"/>
            <rFont val="Tahoma"/>
            <family val="2"/>
          </rPr>
          <t xml:space="preserve">
</t>
        </r>
        <r>
          <rPr>
            <sz val="10"/>
            <color indexed="81"/>
            <rFont val="Tahoma"/>
            <family val="2"/>
          </rPr>
          <t xml:space="preserve">
</t>
        </r>
      </text>
    </comment>
    <comment ref="N9" authorId="0" shapeId="0">
      <text>
        <r>
          <rPr>
            <b/>
            <sz val="10"/>
            <color indexed="81"/>
            <rFont val="Tahoma"/>
            <family val="2"/>
          </rPr>
          <t>Richtlijnen m.b.t. advisering:</t>
        </r>
        <r>
          <rPr>
            <sz val="10"/>
            <color indexed="81"/>
            <rFont val="Tahoma"/>
            <family val="2"/>
          </rPr>
          <t xml:space="preserve">
veelal A --&gt; HV
veelal B --&gt; TL
veelal C --&gt; KT
veelal D --&gt; BB
veelal E --&gt; PrO / BB</t>
        </r>
      </text>
    </comment>
    <comment ref="AW9" authorId="0" shapeId="0">
      <text>
        <r>
          <rPr>
            <sz val="10"/>
            <color indexed="81"/>
            <rFont val="Arial"/>
            <family val="2"/>
          </rPr>
          <t xml:space="preserve">Gegevens verschijnen automatisch, u hoeft hier niets in te vullen
</t>
        </r>
      </text>
    </comment>
  </commentList>
</comments>
</file>

<file path=xl/sharedStrings.xml><?xml version="1.0" encoding="utf-8"?>
<sst xmlns="http://schemas.openxmlformats.org/spreadsheetml/2006/main" count="1953" uniqueCount="146">
  <si>
    <t>A</t>
  </si>
  <si>
    <t>B</t>
  </si>
  <si>
    <t>C</t>
  </si>
  <si>
    <t>D</t>
  </si>
  <si>
    <t>E</t>
  </si>
  <si>
    <t>totaal</t>
  </si>
  <si>
    <t>gemiddeld</t>
  </si>
  <si>
    <t>GROEP</t>
  </si>
  <si>
    <t>technisch lezen</t>
  </si>
  <si>
    <t>begrijpend lezen</t>
  </si>
  <si>
    <t>spellen</t>
  </si>
  <si>
    <t>hoofdrekenen</t>
  </si>
  <si>
    <t>rekenen &amp; wiskunde</t>
  </si>
  <si>
    <t>namen leerlingen:</t>
  </si>
  <si>
    <t xml:space="preserve">EMT / DMT </t>
  </si>
  <si>
    <t>aantal toetsen</t>
  </si>
  <si>
    <t>TTR - automatiseren</t>
  </si>
  <si>
    <t>H</t>
  </si>
  <si>
    <t>G</t>
  </si>
  <si>
    <t>I</t>
  </si>
  <si>
    <t>lezen</t>
  </si>
  <si>
    <t>rekenen</t>
  </si>
  <si>
    <t>wiskunde</t>
  </si>
  <si>
    <t>ga met de muis over dit vak</t>
  </si>
  <si>
    <t xml:space="preserve">leerling: </t>
  </si>
  <si>
    <t>Cito</t>
  </si>
  <si>
    <t>T</t>
  </si>
  <si>
    <t>spelling</t>
  </si>
  <si>
    <t>x</t>
  </si>
  <si>
    <t>DATUM</t>
  </si>
  <si>
    <t>de indicatoren</t>
  </si>
  <si>
    <t>Ik gebruik Cito A-B-C-D-E</t>
  </si>
  <si>
    <t>ja</t>
  </si>
  <si>
    <t>Ik gebruik Cito 1-2-3-4-5</t>
  </si>
  <si>
    <t>INFORMATIE</t>
  </si>
  <si>
    <t>TAAL</t>
  </si>
  <si>
    <t>REKENEN</t>
  </si>
  <si>
    <t>Naam leerling</t>
  </si>
  <si>
    <t>Aanleg-</t>
  </si>
  <si>
    <t>Spec.</t>
  </si>
  <si>
    <t>Doublure</t>
  </si>
  <si>
    <t>Advies</t>
  </si>
  <si>
    <t>Technisch</t>
  </si>
  <si>
    <t>Begrijpend</t>
  </si>
  <si>
    <t>Spellen</t>
  </si>
  <si>
    <t>Hoofd</t>
  </si>
  <si>
    <t>Rekenen /</t>
  </si>
  <si>
    <t>realisatie</t>
  </si>
  <si>
    <t>Eind</t>
  </si>
  <si>
    <t>gr 3-8</t>
  </si>
  <si>
    <t>Sociaal</t>
  </si>
  <si>
    <t>cijfer</t>
  </si>
  <si>
    <t>Plaatsing</t>
  </si>
  <si>
    <t>v&gt;=t</t>
  </si>
  <si>
    <t>Positie VO</t>
  </si>
  <si>
    <t>niveau</t>
  </si>
  <si>
    <t>behoefte</t>
  </si>
  <si>
    <t>VO</t>
  </si>
  <si>
    <t xml:space="preserve"> lezen</t>
  </si>
  <si>
    <t>ingevoerd</t>
  </si>
  <si>
    <t>resultaten</t>
  </si>
  <si>
    <t>competent</t>
  </si>
  <si>
    <t>na 3 jr.</t>
  </si>
  <si>
    <t>(1.1.1)</t>
  </si>
  <si>
    <t>(1.1.2)</t>
  </si>
  <si>
    <t>(1.1)</t>
  </si>
  <si>
    <t>(1.3)</t>
  </si>
  <si>
    <t>(1.4)</t>
  </si>
  <si>
    <t>(1.5)</t>
  </si>
  <si>
    <t>(1.6)</t>
  </si>
  <si>
    <t>(1.7)</t>
  </si>
  <si>
    <t>S</t>
  </si>
  <si>
    <t>R</t>
  </si>
  <si>
    <t>P</t>
  </si>
  <si>
    <t>N</t>
  </si>
  <si>
    <t>tot.</t>
  </si>
  <si>
    <t>Indicator 1.1</t>
  </si>
  <si>
    <t>eindresultaat</t>
  </si>
  <si>
    <t>doublure</t>
  </si>
  <si>
    <t>sociaal competent</t>
  </si>
  <si>
    <t>plaatsing VO</t>
  </si>
  <si>
    <t xml:space="preserve">positie VO na 3 jr. </t>
  </si>
  <si>
    <t>positie VO na 3 jr.</t>
  </si>
  <si>
    <t>Norm</t>
  </si>
  <si>
    <t>potentie A-E</t>
  </si>
  <si>
    <t>realisatie A-E</t>
  </si>
  <si>
    <t>potentie 1-5</t>
  </si>
  <si>
    <t>realisatie 1-5</t>
  </si>
  <si>
    <t>Aanleg</t>
  </si>
  <si>
    <t>Resultaat</t>
  </si>
  <si>
    <t>Gemiddeld</t>
  </si>
  <si>
    <t>Niveau</t>
  </si>
  <si>
    <t>inschatting</t>
  </si>
  <si>
    <t>leerkracht</t>
  </si>
  <si>
    <t xml:space="preserve">volgens </t>
  </si>
  <si>
    <t>NSCCT</t>
  </si>
  <si>
    <t>Hoogste</t>
  </si>
  <si>
    <t>waarde</t>
  </si>
  <si>
    <t>%</t>
  </si>
  <si>
    <t>Nw</t>
  </si>
  <si>
    <t>Minimum</t>
  </si>
  <si>
    <t>Profiel</t>
  </si>
  <si>
    <t>Technisch lezen</t>
  </si>
  <si>
    <t>Begrijpend lezen</t>
  </si>
  <si>
    <t>Hoofdrekenen</t>
  </si>
  <si>
    <t>Rekenen &amp; wiskunde</t>
  </si>
  <si>
    <t>vakgebied</t>
  </si>
  <si>
    <t>niveauwaarde</t>
  </si>
  <si>
    <t>percentage</t>
  </si>
  <si>
    <t>aanleg</t>
  </si>
  <si>
    <t xml:space="preserve">Aanleg </t>
  </si>
  <si>
    <t>volgens</t>
  </si>
  <si>
    <t>LK</t>
  </si>
  <si>
    <t>opmerking</t>
  </si>
  <si>
    <t>80% Norm</t>
  </si>
  <si>
    <t>Groep:</t>
  </si>
  <si>
    <t xml:space="preserve">Snel naar: </t>
  </si>
  <si>
    <t>M8</t>
  </si>
  <si>
    <t>E7</t>
  </si>
  <si>
    <t>M7</t>
  </si>
  <si>
    <t>groep</t>
  </si>
  <si>
    <t>gem.NW</t>
  </si>
  <si>
    <t>E6</t>
  </si>
  <si>
    <t>M6</t>
  </si>
  <si>
    <t>E5</t>
  </si>
  <si>
    <t>M5</t>
  </si>
  <si>
    <t>E4</t>
  </si>
  <si>
    <t>M4</t>
  </si>
  <si>
    <t>Groep</t>
  </si>
  <si>
    <t>Opbrengst</t>
  </si>
  <si>
    <t>min. NW</t>
  </si>
  <si>
    <t>Min.NW</t>
  </si>
  <si>
    <t>Gem.NW</t>
  </si>
  <si>
    <t>perc.</t>
  </si>
  <si>
    <t>woordenschat</t>
  </si>
  <si>
    <t>WOORDEN LEZEN</t>
  </si>
  <si>
    <t>TOTAAL</t>
  </si>
  <si>
    <t>SPELLING</t>
  </si>
  <si>
    <t>HOOFDREKENEN</t>
  </si>
  <si>
    <t>REKENEN &amp; WISKUNDE</t>
  </si>
  <si>
    <t>BEGR. LEZEN</t>
  </si>
  <si>
    <t>leerling 1</t>
  </si>
  <si>
    <t>leerling 2</t>
  </si>
  <si>
    <t>leerling 3</t>
  </si>
  <si>
    <t>geboortedatum:</t>
  </si>
  <si>
    <t>geb.datum: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</si>
</sst>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F800]dddd\,\ mmmm\ dd\,\ yyyy"/>
    <numFmt numFmtId="166" formatCode="[$-413]d/mmm/yy;@"/>
  </numFmts>
  <fonts count="43" x14ac:knownFonts="1">
    <font>
      <sz val="10"/>
      <name val="Arial"/>
    </font>
    <font>
      <sz val="10"/>
      <name val="Arial"/>
    </font>
    <font>
      <sz val="10"/>
      <name val="Arial"/>
      <family val="2"/>
    </font>
    <font>
      <sz val="8"/>
      <name val="Arial"/>
    </font>
    <font>
      <sz val="10"/>
      <color indexed="9"/>
      <name val="Arial"/>
    </font>
    <font>
      <b/>
      <sz val="10"/>
      <name val="Arial"/>
      <family val="2"/>
    </font>
    <font>
      <b/>
      <sz val="12"/>
      <name val="Comic Sans MS"/>
      <family val="4"/>
    </font>
    <font>
      <b/>
      <sz val="20"/>
      <name val="Comic Sans MS"/>
      <family val="4"/>
    </font>
    <font>
      <b/>
      <i/>
      <u/>
      <sz val="10"/>
      <name val="Arial"/>
      <family val="2"/>
    </font>
    <font>
      <sz val="10"/>
      <name val="Comic Sans MS"/>
      <family val="4"/>
    </font>
    <font>
      <sz val="10"/>
      <color indexed="9"/>
      <name val="Comic Sans MS"/>
      <family val="4"/>
    </font>
    <font>
      <sz val="10"/>
      <color indexed="9"/>
      <name val="Arial"/>
      <family val="2"/>
    </font>
    <font>
      <sz val="12"/>
      <name val="Arial"/>
      <family val="2"/>
    </font>
    <font>
      <sz val="10"/>
      <color indexed="81"/>
      <name val="Tahoma"/>
      <family val="2"/>
    </font>
    <font>
      <sz val="14"/>
      <name val="Comic Sans MS"/>
      <family val="4"/>
    </font>
    <font>
      <sz val="10"/>
      <color indexed="81"/>
      <name val="Arial"/>
      <family val="2"/>
    </font>
    <font>
      <b/>
      <sz val="10"/>
      <color indexed="81"/>
      <name val="Tahoma"/>
      <family val="2"/>
    </font>
    <font>
      <sz val="8"/>
      <color indexed="81"/>
      <name val="Tahoma"/>
    </font>
    <font>
      <sz val="10"/>
      <name val="Arial"/>
    </font>
    <font>
      <sz val="14"/>
      <color indexed="9"/>
      <name val="Comic Sans MS"/>
      <family val="4"/>
    </font>
    <font>
      <sz val="10"/>
      <color indexed="10"/>
      <name val="Arial"/>
      <family val="2"/>
    </font>
    <font>
      <sz val="12"/>
      <name val="Arial"/>
    </font>
    <font>
      <sz val="8"/>
      <name val="Comic Sans MS"/>
      <family val="4"/>
    </font>
    <font>
      <b/>
      <sz val="12"/>
      <color indexed="10"/>
      <name val="Arial"/>
      <family val="2"/>
    </font>
    <font>
      <b/>
      <sz val="10"/>
      <color indexed="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0"/>
      <color indexed="81"/>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indexed="29"/>
        <bgColor indexed="64"/>
      </patternFill>
    </fill>
    <fill>
      <patternFill patternType="solid">
        <fgColor indexed="26"/>
        <bgColor indexed="64"/>
      </patternFill>
    </fill>
    <fill>
      <patternFill patternType="solid">
        <fgColor indexed="13"/>
        <bgColor indexed="64"/>
      </patternFill>
    </fill>
    <fill>
      <patternFill patternType="solid">
        <fgColor indexed="10"/>
        <bgColor indexed="64"/>
      </patternFill>
    </fill>
    <fill>
      <patternFill patternType="solid">
        <fgColor indexed="31"/>
        <bgColor indexed="6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bottom style="hair">
        <color indexed="64"/>
      </bottom>
      <diagonal/>
    </border>
    <border>
      <left style="hair">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s>
  <cellStyleXfs count="42">
    <xf numFmtId="0" fontId="0" fillId="0" borderId="0"/>
    <xf numFmtId="0" fontId="25" fillId="2"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9" borderId="0" applyNumberFormat="0" applyBorder="0" applyAlignment="0" applyProtection="0"/>
    <xf numFmtId="0" fontId="27" fillId="20" borderId="1" applyNumberFormat="0" applyAlignment="0" applyProtection="0"/>
    <xf numFmtId="0" fontId="28" fillId="21" borderId="2" applyNumberFormat="0" applyAlignment="0" applyProtection="0"/>
    <xf numFmtId="0" fontId="29" fillId="0" borderId="3" applyNumberFormat="0" applyFill="0" applyAlignment="0" applyProtection="0"/>
    <xf numFmtId="0" fontId="30" fillId="4" borderId="0" applyNumberFormat="0" applyBorder="0" applyAlignment="0" applyProtection="0"/>
    <xf numFmtId="0" fontId="31" fillId="7" borderId="1" applyNumberFormat="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22" borderId="0" applyNumberFormat="0" applyBorder="0" applyAlignment="0" applyProtection="0"/>
    <xf numFmtId="0" fontId="1" fillId="23" borderId="7" applyNumberFormat="0" applyFont="0" applyAlignment="0" applyProtection="0"/>
    <xf numFmtId="0" fontId="36" fillId="3" borderId="0" applyNumberFormat="0" applyBorder="0" applyAlignment="0" applyProtection="0"/>
    <xf numFmtId="0" fontId="37" fillId="0" borderId="0" applyNumberFormat="0" applyFill="0" applyBorder="0" applyAlignment="0" applyProtection="0"/>
    <xf numFmtId="0" fontId="38" fillId="0" borderId="8" applyNumberFormat="0" applyFill="0" applyAlignment="0" applyProtection="0"/>
    <xf numFmtId="0" fontId="39" fillId="20" borderId="9"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366">
    <xf numFmtId="0" fontId="0" fillId="0" borderId="0" xfId="0"/>
    <xf numFmtId="0" fontId="0" fillId="0" borderId="0" xfId="0" applyAlignment="1">
      <alignment horizontal="center"/>
    </xf>
    <xf numFmtId="0" fontId="9" fillId="0" borderId="0" xfId="0" applyFont="1"/>
    <xf numFmtId="0" fontId="1" fillId="0" borderId="0" xfId="0" applyFont="1" applyAlignment="1">
      <alignment horizontal="center"/>
    </xf>
    <xf numFmtId="0" fontId="7" fillId="0" borderId="0" xfId="0" applyFont="1" applyFill="1" applyBorder="1" applyAlignment="1" applyProtection="1">
      <alignment horizontal="left"/>
      <protection locked="0"/>
    </xf>
    <xf numFmtId="0" fontId="4" fillId="0" borderId="0" xfId="0" applyFont="1"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12" fillId="0" borderId="0" xfId="0" applyFont="1" applyBorder="1" applyAlignment="1">
      <alignment horizontal="left"/>
    </xf>
    <xf numFmtId="0" fontId="2" fillId="0" borderId="0" xfId="0" applyFont="1" applyFill="1"/>
    <xf numFmtId="0" fontId="2" fillId="0" borderId="0" xfId="0" applyFont="1" applyAlignment="1">
      <alignment vertical="center"/>
    </xf>
    <xf numFmtId="0" fontId="2" fillId="0" borderId="0" xfId="0" applyFont="1" applyAlignment="1">
      <alignment horizontal="right" vertical="center"/>
    </xf>
    <xf numFmtId="0" fontId="2" fillId="0" borderId="10" xfId="0" applyFont="1" applyBorder="1" applyAlignment="1">
      <alignment horizontal="right" vertical="center"/>
    </xf>
    <xf numFmtId="0" fontId="12" fillId="0" borderId="0" xfId="0" applyFont="1" applyAlignment="1">
      <alignment vertical="center"/>
    </xf>
    <xf numFmtId="0" fontId="2" fillId="0" borderId="0" xfId="0" applyFont="1" applyAlignment="1">
      <alignment horizontal="left" vertical="center"/>
    </xf>
    <xf numFmtId="0" fontId="2" fillId="0" borderId="11" xfId="0" applyFont="1" applyBorder="1" applyAlignment="1"/>
    <xf numFmtId="0" fontId="12" fillId="0" borderId="0" xfId="0" applyFont="1" applyFill="1" applyBorder="1" applyAlignment="1">
      <alignment horizontal="left" vertical="center" textRotation="90"/>
    </xf>
    <xf numFmtId="0" fontId="2" fillId="0" borderId="0" xfId="0" applyFont="1" applyFill="1" applyBorder="1" applyAlignment="1" applyProtection="1">
      <alignment vertical="top"/>
      <protection locked="0"/>
    </xf>
    <xf numFmtId="0" fontId="2" fillId="0" borderId="0" xfId="0" applyFont="1" applyFill="1" applyBorder="1" applyAlignment="1">
      <alignment horizontal="left" vertical="center"/>
    </xf>
    <xf numFmtId="0" fontId="2" fillId="0" borderId="0"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2" fillId="0" borderId="10" xfId="0" applyFont="1" applyBorder="1" applyAlignment="1">
      <alignment horizontal="center" textRotation="90"/>
    </xf>
    <xf numFmtId="0" fontId="2" fillId="0" borderId="12" xfId="0" applyFont="1" applyBorder="1" applyAlignment="1">
      <alignment horizontal="center" textRotation="90"/>
    </xf>
    <xf numFmtId="0" fontId="2" fillId="0" borderId="0" xfId="0" applyFont="1" applyFill="1" applyBorder="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2" fillId="0" borderId="13" xfId="0" applyFont="1" applyFill="1" applyBorder="1" applyAlignment="1" applyProtection="1">
      <alignment horizontal="left" vertical="center"/>
    </xf>
    <xf numFmtId="0" fontId="2" fillId="0" borderId="14" xfId="0" applyFont="1" applyFill="1" applyBorder="1" applyAlignment="1" applyProtection="1">
      <alignment horizontal="left" vertical="center"/>
    </xf>
    <xf numFmtId="0" fontId="0" fillId="0" borderId="0" xfId="0" applyBorder="1"/>
    <xf numFmtId="0" fontId="0" fillId="0" borderId="0" xfId="0" applyBorder="1" applyAlignment="1">
      <alignment horizontal="center"/>
    </xf>
    <xf numFmtId="0" fontId="0" fillId="0" borderId="15" xfId="0" applyBorder="1" applyAlignment="1">
      <alignment horizontal="center"/>
    </xf>
    <xf numFmtId="0" fontId="1" fillId="0" borderId="0" xfId="0" applyFont="1"/>
    <xf numFmtId="0" fontId="0" fillId="0" borderId="0" xfId="0" applyAlignment="1">
      <alignment horizontal="left"/>
    </xf>
    <xf numFmtId="0" fontId="0" fillId="0" borderId="0" xfId="0" applyBorder="1" applyAlignment="1">
      <alignment horizontal="left"/>
    </xf>
    <xf numFmtId="0" fontId="0" fillId="0" borderId="0" xfId="0" applyFill="1" applyBorder="1" applyAlignment="1">
      <alignment horizontal="center"/>
    </xf>
    <xf numFmtId="0" fontId="18" fillId="0" borderId="0" xfId="0" applyFont="1"/>
    <xf numFmtId="0" fontId="0" fillId="0" borderId="15" xfId="0" applyBorder="1"/>
    <xf numFmtId="0" fontId="0" fillId="0" borderId="15" xfId="0" applyBorder="1" applyAlignment="1">
      <alignment horizontal="left"/>
    </xf>
    <xf numFmtId="0" fontId="0" fillId="0" borderId="16" xfId="0" applyBorder="1" applyAlignment="1">
      <alignment horizontal="center" vertical="center"/>
    </xf>
    <xf numFmtId="0" fontId="0" fillId="0" borderId="17" xfId="0" applyBorder="1" applyAlignment="1">
      <alignment horizontal="center" vertical="center"/>
    </xf>
    <xf numFmtId="0" fontId="0" fillId="24" borderId="15" xfId="0" applyFill="1" applyBorder="1"/>
    <xf numFmtId="0" fontId="0" fillId="24" borderId="15" xfId="0" applyFill="1" applyBorder="1" applyAlignment="1">
      <alignment horizontal="left"/>
    </xf>
    <xf numFmtId="0" fontId="0" fillId="0" borderId="16" xfId="0" applyBorder="1" applyAlignment="1" applyProtection="1">
      <alignment horizontal="center" vertical="center"/>
    </xf>
    <xf numFmtId="0" fontId="0" fillId="0" borderId="17" xfId="0" applyBorder="1" applyAlignment="1" applyProtection="1">
      <alignment horizontal="center" vertical="center"/>
    </xf>
    <xf numFmtId="0" fontId="21" fillId="0" borderId="0" xfId="0" applyFont="1"/>
    <xf numFmtId="0" fontId="6" fillId="0" borderId="0" xfId="0" applyFont="1" applyAlignment="1">
      <alignment horizontal="left" vertical="center"/>
    </xf>
    <xf numFmtId="166" fontId="14" fillId="25" borderId="0" xfId="0" applyNumberFormat="1" applyFont="1" applyFill="1" applyBorder="1" applyAlignment="1" applyProtection="1">
      <alignment horizontal="center"/>
      <protection locked="0"/>
    </xf>
    <xf numFmtId="0" fontId="24" fillId="0" borderId="0" xfId="0" applyFont="1" applyFill="1" applyBorder="1" applyAlignment="1">
      <alignment horizontal="center"/>
    </xf>
    <xf numFmtId="0" fontId="5" fillId="0" borderId="15" xfId="0" applyFont="1" applyFill="1" applyBorder="1" applyAlignment="1" applyProtection="1">
      <alignment horizontal="center"/>
      <protection locked="0"/>
    </xf>
    <xf numFmtId="0" fontId="1" fillId="0" borderId="0" xfId="0" applyFont="1" applyFill="1" applyBorder="1" applyAlignment="1">
      <alignment horizontal="center"/>
    </xf>
    <xf numFmtId="0" fontId="5" fillId="0" borderId="15" xfId="0" applyFont="1" applyFill="1" applyBorder="1" applyAlignment="1">
      <alignment horizontal="center"/>
    </xf>
    <xf numFmtId="0" fontId="20" fillId="0" borderId="0" xfId="0" applyFont="1" applyAlignment="1">
      <alignment horizontal="left"/>
    </xf>
    <xf numFmtId="0" fontId="20" fillId="0" borderId="0" xfId="0" applyFont="1" applyFill="1" applyBorder="1" applyAlignment="1">
      <alignment horizontal="center"/>
    </xf>
    <xf numFmtId="0" fontId="0" fillId="0" borderId="0" xfId="0" applyAlignment="1"/>
    <xf numFmtId="0" fontId="0" fillId="0" borderId="18" xfId="0" applyBorder="1" applyAlignment="1">
      <alignment horizontal="center"/>
    </xf>
    <xf numFmtId="0" fontId="0" fillId="0" borderId="19" xfId="0" applyBorder="1" applyAlignment="1">
      <alignment horizontal="center"/>
    </xf>
    <xf numFmtId="0" fontId="0" fillId="26" borderId="20" xfId="0" applyFill="1" applyBorder="1"/>
    <xf numFmtId="0" fontId="0" fillId="26" borderId="20" xfId="0" applyFill="1" applyBorder="1" applyAlignment="1">
      <alignment horizontal="center"/>
    </xf>
    <xf numFmtId="0" fontId="0" fillId="26" borderId="20" xfId="0" applyFill="1" applyBorder="1" applyAlignment="1">
      <alignment horizontal="center" vertical="center"/>
    </xf>
    <xf numFmtId="0" fontId="1" fillId="27" borderId="20" xfId="0" applyFont="1" applyFill="1" applyBorder="1" applyAlignment="1">
      <alignment horizontal="center"/>
    </xf>
    <xf numFmtId="0" fontId="1" fillId="27" borderId="21" xfId="0" applyFont="1" applyFill="1" applyBorder="1" applyAlignment="1">
      <alignment horizontal="center"/>
    </xf>
    <xf numFmtId="0" fontId="1" fillId="27" borderId="20" xfId="0" applyFont="1" applyFill="1" applyBorder="1" applyAlignment="1">
      <alignment horizontal="center" vertical="center"/>
    </xf>
    <xf numFmtId="0" fontId="0" fillId="25" borderId="22" xfId="0" applyFill="1" applyBorder="1" applyAlignment="1">
      <alignment horizontal="center" vertical="center"/>
    </xf>
    <xf numFmtId="0" fontId="0" fillId="25" borderId="23" xfId="0" applyFill="1" applyBorder="1" applyAlignment="1">
      <alignment horizontal="center" vertical="center"/>
    </xf>
    <xf numFmtId="0" fontId="0" fillId="25" borderId="20" xfId="0" applyFill="1" applyBorder="1" applyAlignment="1">
      <alignment horizontal="center" vertical="center"/>
    </xf>
    <xf numFmtId="0" fontId="1" fillId="25" borderId="23" xfId="0" applyFont="1" applyFill="1" applyBorder="1" applyAlignment="1">
      <alignment horizontal="center"/>
    </xf>
    <xf numFmtId="0" fontId="1" fillId="0" borderId="20" xfId="0" applyFont="1" applyFill="1" applyBorder="1" applyAlignment="1">
      <alignment horizontal="center"/>
    </xf>
    <xf numFmtId="0" fontId="1" fillId="0" borderId="20" xfId="0" applyFont="1" applyBorder="1" applyAlignment="1">
      <alignment horizontal="center"/>
    </xf>
    <xf numFmtId="0" fontId="0" fillId="26" borderId="24" xfId="0" applyFill="1" applyBorder="1"/>
    <xf numFmtId="0" fontId="0" fillId="26" borderId="24" xfId="0" applyFill="1" applyBorder="1" applyAlignment="1">
      <alignment horizontal="center"/>
    </xf>
    <xf numFmtId="0" fontId="0" fillId="26" borderId="24" xfId="0" applyFill="1" applyBorder="1" applyAlignment="1">
      <alignment horizontal="center" vertical="center"/>
    </xf>
    <xf numFmtId="0" fontId="1" fillId="27" borderId="24" xfId="0" applyFont="1" applyFill="1" applyBorder="1" applyAlignment="1">
      <alignment horizontal="center"/>
    </xf>
    <xf numFmtId="0" fontId="1" fillId="27" borderId="25" xfId="0" applyFont="1" applyFill="1" applyBorder="1" applyAlignment="1">
      <alignment horizontal="center"/>
    </xf>
    <xf numFmtId="0" fontId="1" fillId="27" borderId="24" xfId="0" applyFont="1" applyFill="1" applyBorder="1" applyAlignment="1">
      <alignment horizontal="center" vertical="center"/>
    </xf>
    <xf numFmtId="0" fontId="1" fillId="0" borderId="25" xfId="0" applyFont="1" applyBorder="1" applyAlignment="1">
      <alignment horizontal="center"/>
    </xf>
    <xf numFmtId="0" fontId="0" fillId="25" borderId="26" xfId="0" applyFill="1" applyBorder="1" applyAlignment="1">
      <alignment horizontal="center" vertical="center"/>
    </xf>
    <xf numFmtId="0" fontId="0" fillId="25" borderId="0" xfId="0" applyFill="1" applyBorder="1" applyAlignment="1">
      <alignment horizontal="center" vertical="center"/>
    </xf>
    <xf numFmtId="0" fontId="0" fillId="25" borderId="24" xfId="0" applyFill="1" applyBorder="1" applyAlignment="1">
      <alignment horizontal="center" vertical="center"/>
    </xf>
    <xf numFmtId="0" fontId="1" fillId="25" borderId="0" xfId="0" applyFont="1" applyFill="1" applyBorder="1" applyAlignment="1">
      <alignment horizontal="center"/>
    </xf>
    <xf numFmtId="0" fontId="1" fillId="0" borderId="24" xfId="0" applyFont="1" applyFill="1" applyBorder="1" applyAlignment="1">
      <alignment horizontal="center"/>
    </xf>
    <xf numFmtId="0" fontId="1" fillId="0" borderId="24" xfId="0" applyFont="1" applyBorder="1" applyAlignment="1">
      <alignment horizontal="center"/>
    </xf>
    <xf numFmtId="0" fontId="1" fillId="26" borderId="27" xfId="0" applyFont="1" applyFill="1" applyBorder="1"/>
    <xf numFmtId="0" fontId="1" fillId="26" borderId="27" xfId="0" applyFont="1" applyFill="1" applyBorder="1" applyAlignment="1">
      <alignment horizontal="center"/>
    </xf>
    <xf numFmtId="0" fontId="1" fillId="26" borderId="27" xfId="0" applyFont="1" applyFill="1" applyBorder="1" applyAlignment="1">
      <alignment horizontal="center" vertical="center"/>
    </xf>
    <xf numFmtId="0" fontId="1" fillId="27" borderId="27" xfId="0" applyFont="1" applyFill="1" applyBorder="1" applyAlignment="1">
      <alignment horizontal="center"/>
    </xf>
    <xf numFmtId="0" fontId="1" fillId="27" borderId="28" xfId="0" applyFont="1" applyFill="1" applyBorder="1" applyAlignment="1">
      <alignment horizontal="center"/>
    </xf>
    <xf numFmtId="0" fontId="1" fillId="27" borderId="27" xfId="0" applyFont="1" applyFill="1" applyBorder="1" applyAlignment="1">
      <alignment horizontal="center" vertical="center"/>
    </xf>
    <xf numFmtId="0" fontId="1" fillId="0" borderId="28" xfId="0" applyFont="1" applyBorder="1" applyAlignment="1">
      <alignment horizontal="center"/>
    </xf>
    <xf numFmtId="0" fontId="1" fillId="25" borderId="29" xfId="0" applyFont="1" applyFill="1" applyBorder="1" applyAlignment="1">
      <alignment horizontal="center" vertical="center"/>
    </xf>
    <xf numFmtId="0" fontId="1" fillId="25" borderId="0" xfId="0" applyFont="1" applyFill="1" applyBorder="1" applyAlignment="1">
      <alignment horizontal="center" vertical="center"/>
    </xf>
    <xf numFmtId="0" fontId="1" fillId="25" borderId="27" xfId="0" applyFont="1" applyFill="1" applyBorder="1" applyAlignment="1">
      <alignment horizontal="center" vertical="center"/>
    </xf>
    <xf numFmtId="0" fontId="1" fillId="0" borderId="27" xfId="0" applyFont="1" applyFill="1" applyBorder="1" applyAlignment="1">
      <alignment horizontal="center"/>
    </xf>
    <xf numFmtId="0" fontId="1" fillId="0" borderId="27" xfId="0" applyFont="1" applyBorder="1" applyAlignment="1">
      <alignment horizontal="center"/>
    </xf>
    <xf numFmtId="0" fontId="1" fillId="0" borderId="0" xfId="0" applyFont="1" applyFill="1"/>
    <xf numFmtId="0" fontId="1" fillId="0" borderId="15" xfId="0" applyFont="1" applyFill="1" applyBorder="1"/>
    <xf numFmtId="0" fontId="1" fillId="0" borderId="15" xfId="0" applyFont="1" applyFill="1" applyBorder="1" applyAlignment="1">
      <alignment horizontal="center"/>
    </xf>
    <xf numFmtId="0" fontId="1" fillId="0" borderId="15" xfId="0" applyFont="1" applyFill="1" applyBorder="1" applyAlignment="1">
      <alignment horizontal="center" vertical="center"/>
    </xf>
    <xf numFmtId="0" fontId="1" fillId="0" borderId="0" xfId="0" applyFont="1" applyFill="1" applyAlignment="1">
      <alignment horizontal="center"/>
    </xf>
    <xf numFmtId="0" fontId="1" fillId="0" borderId="25" xfId="0" applyFont="1" applyFill="1" applyBorder="1" applyAlignment="1">
      <alignment horizontal="center"/>
    </xf>
    <xf numFmtId="0" fontId="1" fillId="0" borderId="2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6" xfId="0" applyFont="1" applyFill="1" applyBorder="1" applyAlignment="1">
      <alignment horizontal="center"/>
    </xf>
    <xf numFmtId="0" fontId="0" fillId="28" borderId="27" xfId="0" applyFill="1" applyBorder="1" applyAlignment="1" applyProtection="1">
      <alignment horizontal="center"/>
      <protection locked="0"/>
    </xf>
    <xf numFmtId="0" fontId="0" fillId="28" borderId="30" xfId="0" applyFill="1" applyBorder="1" applyAlignment="1" applyProtection="1">
      <alignment horizontal="center"/>
      <protection locked="0"/>
    </xf>
    <xf numFmtId="9" fontId="0" fillId="0" borderId="0" xfId="0" applyNumberFormat="1" applyAlignment="1">
      <alignment horizontal="center"/>
    </xf>
    <xf numFmtId="0" fontId="0" fillId="0" borderId="19" xfId="0" applyBorder="1" applyAlignment="1" applyProtection="1">
      <alignment horizontal="center"/>
    </xf>
    <xf numFmtId="0" fontId="0" fillId="0" borderId="18" xfId="0" applyBorder="1" applyAlignment="1" applyProtection="1">
      <alignment horizontal="center"/>
    </xf>
    <xf numFmtId="9" fontId="0" fillId="0" borderId="15" xfId="0" applyNumberFormat="1" applyBorder="1" applyAlignment="1" applyProtection="1">
      <alignment horizontal="center"/>
    </xf>
    <xf numFmtId="0" fontId="0" fillId="28" borderId="15" xfId="0" applyFill="1" applyBorder="1" applyAlignment="1" applyProtection="1">
      <alignment horizontal="center"/>
      <protection locked="0"/>
    </xf>
    <xf numFmtId="0" fontId="0" fillId="28" borderId="31" xfId="0" applyFill="1" applyBorder="1" applyAlignment="1" applyProtection="1">
      <alignment horizontal="center"/>
    </xf>
    <xf numFmtId="0" fontId="0" fillId="24" borderId="32" xfId="0" applyFill="1" applyBorder="1" applyAlignment="1" applyProtection="1">
      <alignment horizontal="center"/>
      <protection locked="0"/>
    </xf>
    <xf numFmtId="0" fontId="0" fillId="28" borderId="33" xfId="0" applyFill="1" applyBorder="1" applyAlignment="1" applyProtection="1">
      <alignment horizontal="center"/>
    </xf>
    <xf numFmtId="0" fontId="0" fillId="28" borderId="32" xfId="0" applyFill="1" applyBorder="1" applyAlignment="1" applyProtection="1">
      <alignment horizontal="center"/>
    </xf>
    <xf numFmtId="0" fontId="0" fillId="28" borderId="34" xfId="0" applyFill="1" applyBorder="1" applyAlignment="1" applyProtection="1">
      <alignment horizontal="center"/>
      <protection locked="0"/>
    </xf>
    <xf numFmtId="0" fontId="0" fillId="0" borderId="32" xfId="0" applyBorder="1" applyAlignment="1" applyProtection="1">
      <alignment horizontal="center"/>
    </xf>
    <xf numFmtId="0" fontId="0" fillId="28" borderId="35" xfId="0" applyFill="1" applyBorder="1" applyAlignment="1" applyProtection="1">
      <alignment horizontal="center"/>
      <protection locked="0"/>
    </xf>
    <xf numFmtId="0" fontId="0" fillId="28" borderId="36" xfId="0" applyFill="1" applyBorder="1" applyAlignment="1" applyProtection="1">
      <alignment horizontal="center"/>
      <protection locked="0"/>
    </xf>
    <xf numFmtId="0" fontId="1" fillId="0" borderId="18" xfId="0" applyNumberFormat="1" applyFont="1" applyBorder="1" applyAlignment="1" applyProtection="1">
      <alignment horizontal="center"/>
    </xf>
    <xf numFmtId="0" fontId="1" fillId="28" borderId="15" xfId="0" applyFont="1" applyFill="1" applyBorder="1" applyAlignment="1" applyProtection="1">
      <alignment horizontal="center"/>
      <protection locked="0"/>
    </xf>
    <xf numFmtId="0" fontId="1" fillId="0" borderId="18" xfId="0" applyFont="1" applyBorder="1" applyAlignment="1" applyProtection="1">
      <alignment horizontal="center"/>
    </xf>
    <xf numFmtId="0" fontId="0" fillId="28" borderId="20" xfId="0" applyFill="1" applyBorder="1" applyAlignment="1" applyProtection="1">
      <alignment horizontal="center"/>
      <protection locked="0"/>
    </xf>
    <xf numFmtId="0" fontId="1" fillId="28" borderId="20" xfId="0" applyFont="1" applyFill="1" applyBorder="1" applyAlignment="1" applyProtection="1">
      <alignment horizontal="center"/>
      <protection locked="0"/>
    </xf>
    <xf numFmtId="0" fontId="0" fillId="28" borderId="37" xfId="0" applyFill="1" applyBorder="1" applyAlignment="1" applyProtection="1">
      <alignment horizontal="center"/>
      <protection locked="0"/>
    </xf>
    <xf numFmtId="0" fontId="0" fillId="28" borderId="38" xfId="0" applyFill="1" applyBorder="1" applyAlignment="1" applyProtection="1">
      <alignment horizontal="center"/>
      <protection locked="0"/>
    </xf>
    <xf numFmtId="0" fontId="0" fillId="0" borderId="39" xfId="0" applyBorder="1" applyAlignment="1">
      <alignment horizontal="center"/>
    </xf>
    <xf numFmtId="9" fontId="0" fillId="0" borderId="39" xfId="0" applyNumberFormat="1" applyBorder="1" applyAlignment="1">
      <alignment horizontal="center"/>
    </xf>
    <xf numFmtId="9" fontId="0" fillId="29" borderId="40" xfId="0" applyNumberFormat="1" applyFill="1" applyBorder="1" applyAlignment="1">
      <alignment horizontal="center"/>
    </xf>
    <xf numFmtId="10" fontId="1" fillId="0" borderId="19" xfId="0" applyNumberFormat="1" applyFont="1" applyBorder="1" applyAlignment="1">
      <alignment horizontal="center"/>
    </xf>
    <xf numFmtId="9" fontId="1" fillId="26" borderId="13" xfId="0" applyNumberFormat="1" applyFont="1" applyFill="1" applyBorder="1" applyAlignment="1">
      <alignment horizontal="center"/>
    </xf>
    <xf numFmtId="9" fontId="0" fillId="26" borderId="15" xfId="0" applyNumberFormat="1" applyFill="1" applyBorder="1" applyAlignment="1">
      <alignment horizontal="center"/>
    </xf>
    <xf numFmtId="0" fontId="0" fillId="26" borderId="27" xfId="0" applyFill="1" applyBorder="1" applyAlignment="1">
      <alignment horizontal="center"/>
    </xf>
    <xf numFmtId="9" fontId="0" fillId="26" borderId="27" xfId="0" applyNumberFormat="1" applyFill="1" applyBorder="1" applyAlignment="1">
      <alignment horizontal="center"/>
    </xf>
    <xf numFmtId="0" fontId="0" fillId="0" borderId="27" xfId="0" applyBorder="1" applyAlignment="1">
      <alignment horizontal="center"/>
    </xf>
    <xf numFmtId="9" fontId="1" fillId="0" borderId="0" xfId="0" applyNumberFormat="1" applyFont="1" applyAlignment="1">
      <alignment horizontal="center"/>
    </xf>
    <xf numFmtId="0" fontId="4" fillId="0" borderId="0" xfId="0" applyNumberFormat="1" applyFont="1" applyAlignment="1">
      <alignment horizontal="center"/>
    </xf>
    <xf numFmtId="9" fontId="0" fillId="0" borderId="0" xfId="0" applyNumberFormat="1" applyBorder="1" applyAlignment="1">
      <alignment horizontal="center"/>
    </xf>
    <xf numFmtId="0" fontId="1" fillId="0" borderId="0" xfId="0" applyFont="1" applyAlignment="1"/>
    <xf numFmtId="0" fontId="0" fillId="0" borderId="0" xfId="0" applyFont="1" applyAlignment="1">
      <alignment horizontal="center"/>
    </xf>
    <xf numFmtId="10" fontId="0" fillId="0" borderId="0" xfId="0" applyNumberFormat="1" applyAlignment="1">
      <alignment horizontal="center"/>
    </xf>
    <xf numFmtId="9" fontId="1" fillId="0" borderId="0" xfId="0" applyNumberFormat="1" applyFont="1"/>
    <xf numFmtId="0" fontId="0" fillId="0" borderId="0" xfId="0" applyAlignment="1">
      <alignment horizontal="right"/>
    </xf>
    <xf numFmtId="0" fontId="4" fillId="0" borderId="0" xfId="0" applyFont="1" applyAlignment="1">
      <alignment horizontal="left"/>
    </xf>
    <xf numFmtId="0" fontId="1" fillId="0" borderId="0" xfId="0" applyFont="1" applyBorder="1" applyAlignment="1">
      <alignment horizontal="center"/>
    </xf>
    <xf numFmtId="0" fontId="1" fillId="0" borderId="41" xfId="0" applyFont="1" applyBorder="1" applyAlignment="1">
      <alignment horizontal="center"/>
    </xf>
    <xf numFmtId="9" fontId="0" fillId="0" borderId="42" xfId="0" applyNumberFormat="1" applyBorder="1" applyAlignment="1">
      <alignment horizontal="center"/>
    </xf>
    <xf numFmtId="9" fontId="0" fillId="0" borderId="43" xfId="0" applyNumberFormat="1" applyBorder="1" applyAlignment="1">
      <alignment horizontal="center"/>
    </xf>
    <xf numFmtId="0" fontId="1" fillId="0" borderId="15" xfId="0" applyFont="1" applyBorder="1" applyAlignment="1">
      <alignment horizontal="center"/>
    </xf>
    <xf numFmtId="0" fontId="0" fillId="28" borderId="25" xfId="0" applyFill="1" applyBorder="1" applyAlignment="1" applyProtection="1">
      <alignment horizontal="center"/>
    </xf>
    <xf numFmtId="0" fontId="0" fillId="0" borderId="10" xfId="0" applyBorder="1" applyAlignment="1">
      <alignment horizontal="center" vertical="center"/>
    </xf>
    <xf numFmtId="0" fontId="2" fillId="0" borderId="44" xfId="0" applyFont="1" applyBorder="1" applyAlignment="1">
      <alignment horizontal="center" textRotation="90"/>
    </xf>
    <xf numFmtId="164" fontId="0" fillId="24" borderId="16" xfId="0" applyNumberFormat="1" applyFill="1" applyBorder="1" applyAlignment="1" applyProtection="1">
      <alignment horizontal="center" vertical="center"/>
      <protection locked="0"/>
    </xf>
    <xf numFmtId="164" fontId="0" fillId="24" borderId="15" xfId="0" applyNumberFormat="1" applyFill="1" applyBorder="1" applyAlignment="1" applyProtection="1">
      <alignment horizontal="center" vertical="center"/>
      <protection locked="0"/>
    </xf>
    <xf numFmtId="164" fontId="0" fillId="24" borderId="17" xfId="0" applyNumberFormat="1" applyFill="1" applyBorder="1" applyAlignment="1" applyProtection="1">
      <alignment horizontal="center" vertical="center"/>
      <protection locked="0"/>
    </xf>
    <xf numFmtId="164" fontId="0" fillId="24" borderId="45" xfId="0" applyNumberFormat="1" applyFill="1" applyBorder="1" applyAlignment="1" applyProtection="1">
      <alignment horizontal="center" vertical="center"/>
      <protection locked="0"/>
    </xf>
    <xf numFmtId="164" fontId="0" fillId="24" borderId="16" xfId="0" applyNumberFormat="1" applyFill="1" applyBorder="1" applyAlignment="1">
      <alignment horizontal="center" vertical="center"/>
    </xf>
    <xf numFmtId="164" fontId="0" fillId="24" borderId="46" xfId="0" applyNumberFormat="1" applyFill="1" applyBorder="1" applyAlignment="1">
      <alignment horizontal="left" vertical="center"/>
    </xf>
    <xf numFmtId="164" fontId="0" fillId="24" borderId="17" xfId="0" applyNumberFormat="1" applyFill="1" applyBorder="1" applyAlignment="1">
      <alignment horizontal="center" vertical="center"/>
    </xf>
    <xf numFmtId="164" fontId="0" fillId="24" borderId="47" xfId="0" applyNumberFormat="1" applyFill="1" applyBorder="1" applyAlignment="1">
      <alignment horizontal="left" vertical="center"/>
    </xf>
    <xf numFmtId="0" fontId="5" fillId="0" borderId="10" xfId="0" applyFont="1" applyFill="1" applyBorder="1" applyAlignment="1">
      <alignment horizontal="center" textRotation="90"/>
    </xf>
    <xf numFmtId="0" fontId="5" fillId="0" borderId="44" xfId="0" applyFont="1" applyFill="1" applyBorder="1" applyAlignment="1">
      <alignment horizontal="center" textRotation="90"/>
    </xf>
    <xf numFmtId="164" fontId="0" fillId="24" borderId="46" xfId="0" applyNumberFormat="1" applyFill="1" applyBorder="1" applyAlignment="1" applyProtection="1">
      <alignment horizontal="center" vertical="center"/>
      <protection locked="0"/>
    </xf>
    <xf numFmtId="164" fontId="0" fillId="24" borderId="47" xfId="0" applyNumberFormat="1" applyFill="1" applyBorder="1" applyAlignment="1" applyProtection="1">
      <alignment horizontal="center" vertical="center"/>
      <protection locked="0"/>
    </xf>
    <xf numFmtId="0" fontId="2" fillId="0" borderId="0" xfId="0" applyFont="1" applyBorder="1" applyAlignment="1">
      <alignment horizontal="center" textRotation="90"/>
    </xf>
    <xf numFmtId="0" fontId="0" fillId="0" borderId="0" xfId="0" applyBorder="1" applyAlignment="1" applyProtection="1">
      <alignment horizontal="center" vertical="center"/>
    </xf>
    <xf numFmtId="0" fontId="0" fillId="0" borderId="46" xfId="0" applyBorder="1" applyAlignment="1" applyProtection="1">
      <alignment horizontal="center" vertical="center"/>
    </xf>
    <xf numFmtId="0" fontId="0" fillId="0" borderId="47" xfId="0" applyBorder="1" applyAlignment="1" applyProtection="1">
      <alignment horizontal="center" vertical="center"/>
    </xf>
    <xf numFmtId="0" fontId="5" fillId="0" borderId="0" xfId="0" applyFont="1" applyAlignment="1">
      <alignment horizontal="right" vertical="center"/>
    </xf>
    <xf numFmtId="164" fontId="2" fillId="24" borderId="0" xfId="0" applyNumberFormat="1" applyFont="1" applyFill="1" applyAlignment="1">
      <alignment horizontal="center" vertical="center"/>
    </xf>
    <xf numFmtId="164" fontId="2" fillId="0" borderId="0" xfId="0" applyNumberFormat="1" applyFont="1" applyFill="1" applyAlignment="1">
      <alignment horizontal="center" vertical="center"/>
    </xf>
    <xf numFmtId="164" fontId="0" fillId="24" borderId="0" xfId="0" applyNumberFormat="1" applyFill="1" applyBorder="1" applyAlignment="1">
      <alignment horizontal="center" vertical="center"/>
    </xf>
    <xf numFmtId="164" fontId="0" fillId="0" borderId="0" xfId="0" applyNumberFormat="1" applyFill="1" applyBorder="1" applyAlignment="1">
      <alignment horizontal="center" vertical="center"/>
    </xf>
    <xf numFmtId="0" fontId="0" fillId="0" borderId="48" xfId="0" applyBorder="1" applyAlignment="1">
      <alignment horizontal="center"/>
    </xf>
    <xf numFmtId="0" fontId="6" fillId="0" borderId="0" xfId="0" applyFont="1" applyAlignment="1">
      <alignment horizontal="center" vertical="center"/>
    </xf>
    <xf numFmtId="0" fontId="20" fillId="0" borderId="0" xfId="0" applyFont="1" applyAlignment="1">
      <alignment horizontal="center"/>
    </xf>
    <xf numFmtId="0" fontId="0" fillId="26" borderId="21" xfId="0" applyFill="1" applyBorder="1" applyAlignment="1">
      <alignment horizontal="center"/>
    </xf>
    <xf numFmtId="0" fontId="0" fillId="26" borderId="25" xfId="0" applyFill="1" applyBorder="1" applyAlignment="1">
      <alignment horizontal="center"/>
    </xf>
    <xf numFmtId="0" fontId="1" fillId="26" borderId="28" xfId="0" applyFont="1" applyFill="1" applyBorder="1" applyAlignment="1">
      <alignment horizontal="center"/>
    </xf>
    <xf numFmtId="0" fontId="0" fillId="26" borderId="22" xfId="0" applyFill="1" applyBorder="1" applyAlignment="1">
      <alignment horizontal="center" vertical="center"/>
    </xf>
    <xf numFmtId="0" fontId="0" fillId="26" borderId="26" xfId="0" applyFill="1" applyBorder="1" applyAlignment="1">
      <alignment horizontal="center" vertical="center"/>
    </xf>
    <xf numFmtId="0" fontId="1" fillId="26" borderId="29" xfId="0" applyFont="1" applyFill="1" applyBorder="1" applyAlignment="1">
      <alignment horizontal="center" vertical="center"/>
    </xf>
    <xf numFmtId="0" fontId="5" fillId="0" borderId="0" xfId="0" applyFont="1" applyBorder="1" applyAlignment="1">
      <alignment horizontal="left"/>
    </xf>
    <xf numFmtId="0" fontId="0" fillId="26" borderId="22" xfId="0" applyFill="1" applyBorder="1" applyAlignment="1">
      <alignment horizontal="center"/>
    </xf>
    <xf numFmtId="0" fontId="0" fillId="26" borderId="26" xfId="0" applyFill="1" applyBorder="1" applyAlignment="1">
      <alignment horizontal="center"/>
    </xf>
    <xf numFmtId="0" fontId="0" fillId="26" borderId="29" xfId="0" applyFill="1" applyBorder="1" applyAlignment="1">
      <alignment horizontal="center"/>
    </xf>
    <xf numFmtId="0" fontId="0" fillId="28" borderId="28" xfId="0" applyFill="1" applyBorder="1" applyAlignment="1" applyProtection="1">
      <alignment horizontal="left"/>
    </xf>
    <xf numFmtId="0" fontId="0" fillId="28" borderId="13" xfId="0" applyFill="1" applyBorder="1" applyAlignment="1" applyProtection="1">
      <alignment horizontal="left"/>
    </xf>
    <xf numFmtId="0" fontId="0" fillId="28" borderId="29" xfId="0" applyFill="1" applyBorder="1" applyAlignment="1" applyProtection="1">
      <alignment horizontal="center"/>
      <protection locked="0"/>
    </xf>
    <xf numFmtId="0" fontId="0" fillId="28" borderId="19" xfId="0" applyFill="1" applyBorder="1" applyAlignment="1" applyProtection="1">
      <alignment horizontal="center"/>
      <protection locked="0"/>
    </xf>
    <xf numFmtId="0" fontId="0" fillId="28" borderId="22" xfId="0" applyFill="1" applyBorder="1" applyAlignment="1" applyProtection="1">
      <alignment horizontal="center"/>
      <protection locked="0"/>
    </xf>
    <xf numFmtId="0" fontId="0" fillId="28" borderId="49" xfId="0" applyFill="1" applyBorder="1" applyAlignment="1" applyProtection="1">
      <alignment horizontal="center"/>
      <protection locked="0"/>
    </xf>
    <xf numFmtId="0" fontId="0" fillId="28" borderId="31" xfId="0" applyFill="1" applyBorder="1" applyAlignment="1" applyProtection="1">
      <alignment horizontal="center"/>
      <protection locked="0"/>
    </xf>
    <xf numFmtId="0" fontId="0" fillId="28" borderId="50" xfId="0" applyFill="1" applyBorder="1" applyAlignment="1" applyProtection="1">
      <alignment horizontal="center"/>
      <protection locked="0"/>
    </xf>
    <xf numFmtId="0" fontId="0" fillId="28" borderId="51" xfId="0" applyFill="1" applyBorder="1" applyAlignment="1" applyProtection="1">
      <alignment horizontal="center"/>
      <protection locked="0"/>
    </xf>
    <xf numFmtId="0" fontId="0" fillId="28" borderId="52" xfId="0" applyFill="1" applyBorder="1" applyAlignment="1" applyProtection="1">
      <alignment horizontal="center"/>
      <protection locked="0"/>
    </xf>
    <xf numFmtId="0" fontId="0" fillId="28" borderId="53" xfId="0" applyFill="1" applyBorder="1" applyAlignment="1" applyProtection="1">
      <alignment horizontal="center"/>
      <protection locked="0"/>
    </xf>
    <xf numFmtId="0" fontId="1" fillId="27" borderId="0" xfId="0" applyFont="1" applyFill="1" applyBorder="1" applyAlignment="1">
      <alignment horizontal="center"/>
    </xf>
    <xf numFmtId="0" fontId="1" fillId="0" borderId="13" xfId="0" applyFont="1" applyBorder="1" applyAlignment="1">
      <alignment horizontal="center"/>
    </xf>
    <xf numFmtId="0" fontId="0" fillId="0" borderId="20" xfId="0" applyBorder="1" applyAlignment="1">
      <alignment horizontal="center"/>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27" xfId="0" applyFont="1" applyBorder="1" applyAlignment="1">
      <alignment horizontal="center" vertical="center"/>
    </xf>
    <xf numFmtId="0" fontId="1" fillId="0" borderId="24" xfId="0" applyFont="1" applyFill="1" applyBorder="1" applyAlignment="1">
      <alignment horizontal="center" vertical="center"/>
    </xf>
    <xf numFmtId="9" fontId="1" fillId="0" borderId="54" xfId="0" applyNumberFormat="1" applyFont="1" applyBorder="1" applyAlignment="1">
      <alignment horizontal="center"/>
    </xf>
    <xf numFmtId="9" fontId="1" fillId="0" borderId="24" xfId="0" applyNumberFormat="1" applyFont="1" applyBorder="1" applyAlignment="1">
      <alignment horizontal="center"/>
    </xf>
    <xf numFmtId="9" fontId="0" fillId="0" borderId="15" xfId="0" applyNumberFormat="1" applyFill="1" applyBorder="1" applyAlignment="1" applyProtection="1">
      <alignment horizontal="center"/>
    </xf>
    <xf numFmtId="9" fontId="0" fillId="0" borderId="20" xfId="0" applyNumberFormat="1" applyFill="1" applyBorder="1" applyAlignment="1" applyProtection="1">
      <alignment horizontal="center"/>
    </xf>
    <xf numFmtId="0" fontId="0" fillId="0" borderId="15" xfId="0" applyFill="1" applyBorder="1" applyAlignment="1" applyProtection="1">
      <alignment horizontal="center"/>
    </xf>
    <xf numFmtId="0" fontId="0" fillId="0" borderId="20" xfId="0" applyFill="1" applyBorder="1" applyAlignment="1" applyProtection="1">
      <alignment horizontal="center"/>
    </xf>
    <xf numFmtId="164" fontId="0" fillId="0" borderId="15" xfId="0" applyNumberFormat="1" applyFill="1" applyBorder="1" applyAlignment="1" applyProtection="1">
      <alignment horizontal="center"/>
    </xf>
    <xf numFmtId="164" fontId="0" fillId="0" borderId="20" xfId="0" applyNumberFormat="1" applyFill="1" applyBorder="1" applyAlignment="1" applyProtection="1">
      <alignment horizontal="center"/>
    </xf>
    <xf numFmtId="0" fontId="5" fillId="0" borderId="49" xfId="0" applyFont="1" applyBorder="1" applyAlignment="1">
      <alignment horizontal="left"/>
    </xf>
    <xf numFmtId="0" fontId="5" fillId="0" borderId="50" xfId="0" applyFont="1" applyBorder="1" applyAlignment="1">
      <alignment horizontal="left"/>
    </xf>
    <xf numFmtId="0" fontId="22" fillId="0" borderId="0" xfId="0" applyFont="1" applyFill="1" applyAlignment="1">
      <alignment horizontal="center" vertical="center"/>
    </xf>
    <xf numFmtId="0" fontId="5" fillId="0" borderId="0" xfId="0" applyFont="1" applyFill="1" applyAlignment="1">
      <alignment horizontal="center"/>
    </xf>
    <xf numFmtId="0" fontId="5" fillId="0" borderId="55" xfId="0" applyFont="1" applyBorder="1" applyAlignment="1">
      <alignment horizontal="left"/>
    </xf>
    <xf numFmtId="0" fontId="19" fillId="30" borderId="40" xfId="0" applyFont="1" applyFill="1" applyBorder="1" applyAlignment="1" applyProtection="1">
      <alignment horizontal="center"/>
      <protection locked="0"/>
    </xf>
    <xf numFmtId="9" fontId="4" fillId="0" borderId="0" xfId="0" applyNumberFormat="1" applyFont="1" applyAlignment="1">
      <alignment horizontal="center"/>
    </xf>
    <xf numFmtId="0" fontId="10" fillId="0" borderId="0" xfId="0" applyFont="1" applyBorder="1" applyAlignment="1">
      <alignment horizontal="center"/>
    </xf>
    <xf numFmtId="0" fontId="14" fillId="0" borderId="13" xfId="0" applyFont="1" applyBorder="1" applyAlignment="1">
      <alignment horizontal="center"/>
    </xf>
    <xf numFmtId="0" fontId="0" fillId="0" borderId="25" xfId="0" applyBorder="1" applyAlignment="1">
      <alignment horizontal="center"/>
    </xf>
    <xf numFmtId="9" fontId="0" fillId="0" borderId="26" xfId="0" applyNumberFormat="1" applyBorder="1" applyAlignment="1">
      <alignment horizontal="center"/>
    </xf>
    <xf numFmtId="0" fontId="0" fillId="0" borderId="28" xfId="0" applyBorder="1" applyAlignment="1">
      <alignment horizontal="center"/>
    </xf>
    <xf numFmtId="0" fontId="9" fillId="26" borderId="18" xfId="0" applyFont="1" applyFill="1" applyBorder="1" applyAlignment="1">
      <alignment horizontal="center"/>
    </xf>
    <xf numFmtId="9" fontId="9" fillId="29" borderId="26" xfId="0" applyNumberFormat="1" applyFont="1" applyFill="1" applyBorder="1" applyAlignment="1">
      <alignment horizontal="center"/>
    </xf>
    <xf numFmtId="9" fontId="9" fillId="29" borderId="29" xfId="0" applyNumberFormat="1" applyFont="1" applyFill="1" applyBorder="1" applyAlignment="1">
      <alignment horizontal="center"/>
    </xf>
    <xf numFmtId="164" fontId="9" fillId="0" borderId="0" xfId="0" applyNumberFormat="1" applyFont="1" applyBorder="1" applyAlignment="1">
      <alignment horizontal="center"/>
    </xf>
    <xf numFmtId="164" fontId="0" fillId="0" borderId="0" xfId="0" applyNumberFormat="1" applyBorder="1" applyAlignment="1">
      <alignment horizontal="center"/>
    </xf>
    <xf numFmtId="164" fontId="9" fillId="0" borderId="41" xfId="0" applyNumberFormat="1" applyFont="1" applyBorder="1" applyAlignment="1">
      <alignment horizontal="center"/>
    </xf>
    <xf numFmtId="9" fontId="0" fillId="0" borderId="19" xfId="0" applyNumberFormat="1" applyBorder="1" applyAlignment="1">
      <alignment horizontal="center"/>
    </xf>
    <xf numFmtId="164" fontId="9" fillId="0" borderId="18" xfId="0" applyNumberFormat="1" applyFont="1" applyFill="1" applyBorder="1" applyAlignment="1">
      <alignment horizontal="center"/>
    </xf>
    <xf numFmtId="0" fontId="14" fillId="0" borderId="18" xfId="0" applyFont="1" applyBorder="1" applyAlignment="1">
      <alignment horizontal="center"/>
    </xf>
    <xf numFmtId="0" fontId="14" fillId="0" borderId="19" xfId="0" applyFont="1" applyBorder="1" applyAlignment="1">
      <alignment horizontal="center"/>
    </xf>
    <xf numFmtId="164" fontId="9" fillId="0" borderId="18" xfId="0" applyNumberFormat="1" applyFont="1" applyBorder="1" applyAlignment="1">
      <alignment horizontal="center"/>
    </xf>
    <xf numFmtId="0" fontId="14" fillId="31" borderId="19" xfId="0" applyNumberFormat="1" applyFont="1" applyFill="1" applyBorder="1" applyAlignment="1">
      <alignment horizontal="center"/>
    </xf>
    <xf numFmtId="0" fontId="2" fillId="0" borderId="13" xfId="0" applyFont="1" applyBorder="1" applyAlignment="1">
      <alignment horizontal="center"/>
    </xf>
    <xf numFmtId="0" fontId="2" fillId="0" borderId="18" xfId="0" applyFont="1" applyBorder="1" applyAlignment="1">
      <alignment horizontal="center"/>
    </xf>
    <xf numFmtId="0" fontId="2" fillId="0" borderId="23" xfId="0" applyFont="1" applyBorder="1" applyAlignment="1">
      <alignment horizontal="center"/>
    </xf>
    <xf numFmtId="0" fontId="0" fillId="0" borderId="21" xfId="0" applyBorder="1" applyAlignment="1">
      <alignment horizontal="center"/>
    </xf>
    <xf numFmtId="164" fontId="9" fillId="0" borderId="23" xfId="0" applyNumberFormat="1" applyFont="1" applyBorder="1" applyAlignment="1">
      <alignment horizontal="center"/>
    </xf>
    <xf numFmtId="9" fontId="9" fillId="29" borderId="22" xfId="0" applyNumberFormat="1" applyFont="1" applyFill="1" applyBorder="1" applyAlignment="1">
      <alignment horizontal="center"/>
    </xf>
    <xf numFmtId="0" fontId="2" fillId="27" borderId="18" xfId="0" applyFont="1" applyFill="1" applyBorder="1" applyAlignment="1">
      <alignment horizontal="center"/>
    </xf>
    <xf numFmtId="0" fontId="2" fillId="27" borderId="19" xfId="0" applyFont="1" applyFill="1" applyBorder="1" applyAlignment="1">
      <alignment horizontal="center"/>
    </xf>
    <xf numFmtId="0" fontId="6" fillId="0" borderId="0" xfId="0" applyFont="1" applyFill="1" applyBorder="1" applyAlignment="1" applyProtection="1">
      <alignment horizontal="center"/>
      <protection locked="0"/>
    </xf>
    <xf numFmtId="166" fontId="6" fillId="0" borderId="0" xfId="0" applyNumberFormat="1" applyFont="1" applyFill="1" applyBorder="1" applyAlignment="1" applyProtection="1">
      <alignment horizontal="center"/>
      <protection locked="0"/>
    </xf>
    <xf numFmtId="0" fontId="9" fillId="26" borderId="23" xfId="0" applyFont="1" applyFill="1" applyBorder="1" applyAlignment="1">
      <alignment horizontal="center"/>
    </xf>
    <xf numFmtId="0" fontId="9" fillId="26" borderId="0" xfId="0" applyFont="1" applyFill="1" applyBorder="1" applyAlignment="1">
      <alignment horizontal="center"/>
    </xf>
    <xf numFmtId="0" fontId="9" fillId="26" borderId="41" xfId="0" applyFont="1" applyFill="1" applyBorder="1" applyAlignment="1">
      <alignment horizontal="center"/>
    </xf>
    <xf numFmtId="164" fontId="0" fillId="28" borderId="0" xfId="0" applyNumberFormat="1" applyFill="1" applyBorder="1" applyAlignment="1" applyProtection="1">
      <alignment horizontal="center"/>
    </xf>
    <xf numFmtId="164" fontId="4" fillId="0" borderId="15" xfId="0" applyNumberFormat="1" applyFont="1" applyFill="1" applyBorder="1" applyAlignment="1">
      <alignment horizontal="center" vertical="center"/>
    </xf>
    <xf numFmtId="0" fontId="14" fillId="0" borderId="0" xfId="0" applyFont="1" applyFill="1" applyBorder="1" applyAlignment="1" applyProtection="1">
      <alignment horizontal="center"/>
      <protection locked="0"/>
    </xf>
    <xf numFmtId="0" fontId="9" fillId="0" borderId="0" xfId="0" applyFont="1" applyBorder="1" applyAlignment="1">
      <alignment horizontal="center"/>
    </xf>
    <xf numFmtId="0" fontId="18" fillId="0" borderId="0" xfId="0" applyFont="1" applyAlignment="1">
      <alignment horizontal="center"/>
    </xf>
    <xf numFmtId="9" fontId="18" fillId="0" borderId="0" xfId="0" applyNumberFormat="1" applyFont="1" applyAlignment="1">
      <alignment horizontal="center"/>
    </xf>
    <xf numFmtId="164" fontId="9" fillId="0" borderId="0" xfId="0" applyNumberFormat="1" applyFont="1" applyFill="1" applyBorder="1" applyAlignment="1">
      <alignment horizontal="center"/>
    </xf>
    <xf numFmtId="0" fontId="14" fillId="0" borderId="0" xfId="0" applyFont="1" applyFill="1" applyBorder="1" applyAlignment="1">
      <alignment horizontal="center"/>
    </xf>
    <xf numFmtId="0" fontId="9" fillId="0" borderId="0" xfId="0" applyFont="1" applyFill="1" applyBorder="1" applyAlignment="1">
      <alignment horizontal="center"/>
    </xf>
    <xf numFmtId="9" fontId="0" fillId="0" borderId="0" xfId="0" applyNumberFormat="1" applyFill="1" applyBorder="1"/>
    <xf numFmtId="0" fontId="0" fillId="0" borderId="0" xfId="0" applyFill="1" applyBorder="1"/>
    <xf numFmtId="0" fontId="14" fillId="0" borderId="0" xfId="0" applyFont="1" applyBorder="1" applyAlignment="1">
      <alignment horizontal="center"/>
    </xf>
    <xf numFmtId="0" fontId="0" fillId="0" borderId="0" xfId="0" applyBorder="1" applyAlignment="1">
      <alignment horizontal="center" vertical="center"/>
    </xf>
    <xf numFmtId="0" fontId="0" fillId="0" borderId="15" xfId="0" applyBorder="1" applyAlignment="1">
      <alignment vertical="center"/>
    </xf>
    <xf numFmtId="0" fontId="0" fillId="24" borderId="15" xfId="0" applyFill="1" applyBorder="1" applyAlignment="1"/>
    <xf numFmtId="0" fontId="0" fillId="0" borderId="15" xfId="0" applyBorder="1" applyAlignment="1">
      <alignment horizontal="left" vertical="center"/>
    </xf>
    <xf numFmtId="0" fontId="2" fillId="26" borderId="0" xfId="0" applyFont="1" applyFill="1" applyBorder="1" applyAlignment="1">
      <alignment horizontal="center" vertical="center"/>
    </xf>
    <xf numFmtId="164" fontId="2"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0" fontId="2" fillId="0" borderId="21" xfId="0" applyFont="1" applyBorder="1" applyAlignment="1">
      <alignment horizontal="center" vertical="center"/>
    </xf>
    <xf numFmtId="0" fontId="2" fillId="26" borderId="23" xfId="0" applyFont="1" applyFill="1" applyBorder="1" applyAlignment="1">
      <alignment horizontal="center" vertical="center"/>
    </xf>
    <xf numFmtId="164" fontId="2" fillId="0" borderId="23" xfId="0" applyNumberFormat="1" applyFont="1" applyFill="1" applyBorder="1" applyAlignment="1">
      <alignment horizontal="center" vertical="center"/>
    </xf>
    <xf numFmtId="9" fontId="2" fillId="0" borderId="22" xfId="0" applyNumberFormat="1" applyFont="1" applyBorder="1" applyAlignment="1">
      <alignment horizontal="center" vertical="center"/>
    </xf>
    <xf numFmtId="0" fontId="0" fillId="0" borderId="25" xfId="0" applyBorder="1" applyAlignment="1">
      <alignment horizontal="center" vertical="center"/>
    </xf>
    <xf numFmtId="0" fontId="2" fillId="0" borderId="25" xfId="0" applyFont="1" applyBorder="1" applyAlignment="1">
      <alignment horizontal="center" vertical="center"/>
    </xf>
    <xf numFmtId="9" fontId="2" fillId="0" borderId="26" xfId="0" applyNumberFormat="1" applyFont="1" applyBorder="1" applyAlignment="1">
      <alignment horizontal="center" vertical="center"/>
    </xf>
    <xf numFmtId="0" fontId="2" fillId="0" borderId="28" xfId="0" applyFont="1" applyBorder="1" applyAlignment="1">
      <alignment horizontal="center" vertical="center"/>
    </xf>
    <xf numFmtId="0" fontId="2" fillId="26" borderId="41" xfId="0" applyFont="1" applyFill="1" applyBorder="1" applyAlignment="1">
      <alignment horizontal="center" vertical="center"/>
    </xf>
    <xf numFmtId="164" fontId="2" fillId="0" borderId="41" xfId="0" applyNumberFormat="1" applyFont="1" applyFill="1" applyBorder="1" applyAlignment="1">
      <alignment horizontal="center" vertical="center"/>
    </xf>
    <xf numFmtId="9" fontId="2" fillId="0" borderId="29" xfId="0" applyNumberFormat="1" applyFont="1" applyBorder="1" applyAlignment="1">
      <alignment horizontal="center" vertical="center"/>
    </xf>
    <xf numFmtId="0" fontId="11" fillId="0" borderId="0" xfId="0" applyFont="1" applyFill="1" applyBorder="1" applyAlignment="1">
      <alignment horizontal="center" vertical="center"/>
    </xf>
    <xf numFmtId="0" fontId="4" fillId="0" borderId="0" xfId="0" applyFont="1" applyFill="1" applyBorder="1" applyAlignment="1">
      <alignment horizontal="center"/>
    </xf>
    <xf numFmtId="164" fontId="10" fillId="0" borderId="0" xfId="0" applyNumberFormat="1" applyFont="1" applyFill="1" applyBorder="1" applyAlignment="1">
      <alignment horizontal="center"/>
    </xf>
    <xf numFmtId="9" fontId="4" fillId="0" borderId="0" xfId="0" applyNumberFormat="1" applyFont="1" applyFill="1" applyBorder="1"/>
    <xf numFmtId="9" fontId="4" fillId="0" borderId="0" xfId="0" applyNumberFormat="1" applyFont="1" applyFill="1" applyBorder="1" applyAlignment="1">
      <alignment horizontal="center"/>
    </xf>
    <xf numFmtId="164" fontId="11" fillId="0" borderId="0" xfId="0" applyNumberFormat="1" applyFont="1" applyFill="1" applyBorder="1" applyAlignment="1">
      <alignment horizontal="center" vertical="center"/>
    </xf>
    <xf numFmtId="0" fontId="19" fillId="0" borderId="0" xfId="0" applyFont="1" applyFill="1" applyBorder="1" applyAlignment="1">
      <alignment horizontal="center"/>
    </xf>
    <xf numFmtId="0" fontId="10" fillId="0" borderId="0" xfId="0" applyFont="1" applyFill="1" applyBorder="1" applyAlignment="1">
      <alignment horizontal="center"/>
    </xf>
    <xf numFmtId="0" fontId="4" fillId="0" borderId="0" xfId="0" applyFont="1" applyFill="1" applyBorder="1"/>
    <xf numFmtId="9" fontId="11" fillId="0" borderId="0" xfId="0" applyNumberFormat="1" applyFont="1" applyFill="1" applyBorder="1" applyAlignment="1">
      <alignment horizontal="center" vertical="center"/>
    </xf>
    <xf numFmtId="0" fontId="18" fillId="0" borderId="0" xfId="0" applyFont="1" applyBorder="1" applyAlignment="1">
      <alignment horizontal="center" vertical="center"/>
    </xf>
    <xf numFmtId="0" fontId="18" fillId="0" borderId="0" xfId="0" applyFont="1" applyBorder="1"/>
    <xf numFmtId="0" fontId="4" fillId="0" borderId="0" xfId="0" applyFont="1"/>
    <xf numFmtId="0" fontId="14" fillId="0" borderId="0" xfId="0" applyFont="1" applyFill="1" applyBorder="1" applyAlignment="1" applyProtection="1">
      <alignment horizontal="center"/>
    </xf>
    <xf numFmtId="0" fontId="1" fillId="0" borderId="0" xfId="0" applyFont="1" applyFill="1" applyBorder="1"/>
    <xf numFmtId="0" fontId="4" fillId="0" borderId="0" xfId="0" applyFont="1" applyBorder="1" applyAlignment="1">
      <alignment horizontal="center" vertical="center"/>
    </xf>
    <xf numFmtId="0" fontId="4" fillId="0" borderId="0" xfId="0" applyFont="1" applyBorder="1" applyAlignment="1">
      <alignment horizontal="center"/>
    </xf>
    <xf numFmtId="0" fontId="2" fillId="28" borderId="15" xfId="0" applyFont="1" applyFill="1" applyBorder="1" applyAlignment="1" applyProtection="1">
      <alignment horizontal="center"/>
      <protection locked="0"/>
    </xf>
    <xf numFmtId="164" fontId="2" fillId="24" borderId="16" xfId="0" applyNumberFormat="1" applyFont="1" applyFill="1" applyBorder="1" applyAlignment="1" applyProtection="1">
      <alignment horizontal="center" vertical="center" wrapText="1"/>
      <protection locked="0"/>
    </xf>
    <xf numFmtId="0" fontId="2" fillId="24" borderId="15" xfId="0" applyFont="1" applyFill="1" applyBorder="1" applyAlignment="1" applyProtection="1">
      <alignment horizontal="center" vertical="center" wrapText="1"/>
      <protection locked="0"/>
    </xf>
    <xf numFmtId="164" fontId="2" fillId="24" borderId="15" xfId="0" applyNumberFormat="1" applyFont="1" applyFill="1" applyBorder="1" applyAlignment="1" applyProtection="1">
      <alignment horizontal="center" vertical="center" wrapText="1"/>
      <protection locked="0"/>
    </xf>
    <xf numFmtId="164" fontId="0" fillId="24" borderId="56" xfId="0" applyNumberFormat="1" applyFill="1" applyBorder="1" applyAlignment="1" applyProtection="1">
      <alignment horizontal="center" vertical="center"/>
      <protection locked="0"/>
    </xf>
    <xf numFmtId="0" fontId="14" fillId="31" borderId="57" xfId="0" applyFont="1" applyFill="1" applyBorder="1" applyAlignment="1" applyProtection="1">
      <alignment horizontal="center"/>
      <protection locked="0"/>
    </xf>
    <xf numFmtId="0" fontId="0" fillId="28" borderId="13" xfId="0" applyFill="1" applyBorder="1" applyProtection="1">
      <protection locked="0"/>
    </xf>
    <xf numFmtId="0" fontId="2" fillId="28" borderId="13" xfId="0" applyFont="1" applyFill="1" applyBorder="1" applyAlignment="1" applyProtection="1">
      <alignment horizontal="left" vertical="center"/>
      <protection locked="0"/>
    </xf>
    <xf numFmtId="0" fontId="2" fillId="28" borderId="14" xfId="0" applyFont="1" applyFill="1" applyBorder="1" applyAlignment="1" applyProtection="1">
      <alignment horizontal="left" vertical="center"/>
      <protection locked="0"/>
    </xf>
    <xf numFmtId="0" fontId="2" fillId="0" borderId="40" xfId="0" applyFont="1" applyBorder="1" applyAlignment="1">
      <alignment horizontal="center"/>
    </xf>
    <xf numFmtId="0" fontId="2" fillId="0" borderId="0" xfId="0" applyFont="1" applyAlignment="1">
      <alignment horizontal="center" vertical="center"/>
    </xf>
    <xf numFmtId="165" fontId="0" fillId="28" borderId="58" xfId="0" applyNumberFormat="1" applyFill="1" applyBorder="1" applyAlignment="1" applyProtection="1">
      <alignment horizontal="center"/>
      <protection locked="0"/>
    </xf>
    <xf numFmtId="165" fontId="0" fillId="28" borderId="59" xfId="0" applyNumberFormat="1" applyFill="1" applyBorder="1" applyAlignment="1" applyProtection="1">
      <alignment horizontal="center"/>
      <protection locked="0"/>
    </xf>
    <xf numFmtId="165" fontId="2" fillId="28" borderId="59" xfId="0" applyNumberFormat="1" applyFont="1" applyFill="1" applyBorder="1" applyAlignment="1" applyProtection="1">
      <alignment horizontal="center" vertical="center"/>
      <protection locked="0"/>
    </xf>
    <xf numFmtId="165" fontId="2" fillId="28" borderId="60" xfId="0" applyNumberFormat="1" applyFont="1" applyFill="1" applyBorder="1" applyAlignment="1" applyProtection="1">
      <alignment horizontal="center" vertical="center"/>
      <protection locked="0"/>
    </xf>
    <xf numFmtId="0" fontId="14" fillId="31" borderId="40" xfId="0" applyFont="1" applyFill="1" applyBorder="1" applyAlignment="1" applyProtection="1">
      <alignment horizontal="center"/>
      <protection locked="0"/>
    </xf>
    <xf numFmtId="0" fontId="2" fillId="0" borderId="62" xfId="0" applyFont="1" applyBorder="1" applyAlignment="1">
      <alignment horizontal="center"/>
    </xf>
    <xf numFmtId="0" fontId="2" fillId="0" borderId="63" xfId="0" applyFont="1" applyBorder="1" applyAlignment="1">
      <alignment horizontal="center"/>
    </xf>
    <xf numFmtId="0" fontId="14" fillId="0" borderId="0" xfId="0" applyFont="1" applyFill="1" applyBorder="1" applyAlignment="1" applyProtection="1">
      <alignment horizontal="center"/>
      <protection locked="0"/>
    </xf>
    <xf numFmtId="0" fontId="14" fillId="0" borderId="0" xfId="0" applyFont="1" applyFill="1" applyAlignment="1" applyProtection="1">
      <alignment horizontal="center"/>
    </xf>
    <xf numFmtId="0" fontId="14" fillId="0" borderId="0" xfId="0" applyFont="1" applyFill="1" applyBorder="1" applyAlignment="1" applyProtection="1">
      <alignment horizontal="center"/>
    </xf>
    <xf numFmtId="0" fontId="14" fillId="0" borderId="0" xfId="0" applyFont="1" applyBorder="1" applyAlignment="1" applyProtection="1">
      <alignment horizontal="center"/>
    </xf>
    <xf numFmtId="0" fontId="14" fillId="0" borderId="62" xfId="0" applyFont="1" applyBorder="1" applyAlignment="1">
      <alignment horizontal="center" vertical="center"/>
    </xf>
    <xf numFmtId="0" fontId="14" fillId="0" borderId="48" xfId="0" applyFont="1" applyBorder="1" applyAlignment="1">
      <alignment horizontal="center" vertical="center"/>
    </xf>
    <xf numFmtId="166" fontId="6" fillId="28" borderId="62" xfId="0" applyNumberFormat="1" applyFont="1" applyFill="1" applyBorder="1" applyAlignment="1" applyProtection="1">
      <alignment horizontal="center"/>
      <protection locked="0"/>
    </xf>
    <xf numFmtId="166" fontId="6" fillId="28" borderId="63" xfId="0" applyNumberFormat="1" applyFont="1" applyFill="1" applyBorder="1" applyAlignment="1" applyProtection="1">
      <alignment horizontal="center"/>
      <protection locked="0"/>
    </xf>
    <xf numFmtId="166" fontId="6" fillId="28" borderId="64" xfId="0" applyNumberFormat="1" applyFont="1" applyFill="1" applyBorder="1" applyAlignment="1" applyProtection="1">
      <alignment horizontal="center"/>
      <protection locked="0"/>
    </xf>
    <xf numFmtId="0" fontId="22" fillId="27" borderId="0" xfId="0" applyFont="1" applyFill="1" applyAlignment="1">
      <alignment horizontal="center" vertical="center"/>
    </xf>
    <xf numFmtId="0" fontId="5" fillId="27" borderId="0" xfId="0" applyFont="1" applyFill="1" applyAlignment="1">
      <alignment horizontal="center"/>
    </xf>
    <xf numFmtId="0" fontId="23" fillId="0" borderId="13" xfId="0" applyFont="1" applyFill="1" applyBorder="1" applyAlignment="1">
      <alignment horizontal="center"/>
    </xf>
    <xf numFmtId="0" fontId="23" fillId="0" borderId="18" xfId="0" applyFont="1" applyFill="1" applyBorder="1" applyAlignment="1">
      <alignment horizontal="center"/>
    </xf>
    <xf numFmtId="0" fontId="23" fillId="0" borderId="19" xfId="0" applyFont="1" applyFill="1" applyBorder="1" applyAlignment="1">
      <alignment horizontal="center"/>
    </xf>
    <xf numFmtId="0" fontId="2" fillId="27" borderId="18" xfId="0" applyFont="1" applyFill="1" applyBorder="1" applyAlignment="1">
      <alignment horizontal="center" vertical="center"/>
    </xf>
    <xf numFmtId="0" fontId="6" fillId="31" borderId="62" xfId="0" applyFont="1" applyFill="1" applyBorder="1" applyAlignment="1" applyProtection="1">
      <alignment horizontal="center"/>
      <protection locked="0"/>
    </xf>
    <xf numFmtId="0" fontId="6" fillId="31" borderId="63" xfId="0" applyFont="1" applyFill="1" applyBorder="1" applyAlignment="1" applyProtection="1">
      <alignment horizontal="center"/>
      <protection locked="0"/>
    </xf>
    <xf numFmtId="0" fontId="6" fillId="31" borderId="64" xfId="0" applyFont="1" applyFill="1" applyBorder="1" applyAlignment="1" applyProtection="1">
      <alignment horizontal="center"/>
      <protection locked="0"/>
    </xf>
    <xf numFmtId="0" fontId="0" fillId="0" borderId="66" xfId="0" applyBorder="1" applyAlignment="1">
      <alignment horizontal="center"/>
    </xf>
    <xf numFmtId="0" fontId="0" fillId="0" borderId="67" xfId="0" applyBorder="1" applyAlignment="1">
      <alignment horizontal="center"/>
    </xf>
    <xf numFmtId="0" fontId="0" fillId="0" borderId="68" xfId="0" applyBorder="1" applyAlignment="1">
      <alignment horizontal="center"/>
    </xf>
    <xf numFmtId="9" fontId="0" fillId="0" borderId="28" xfId="0" applyNumberFormat="1" applyBorder="1" applyAlignment="1">
      <alignment horizontal="center"/>
    </xf>
    <xf numFmtId="9" fontId="0" fillId="0" borderId="41" xfId="0" applyNumberFormat="1" applyBorder="1" applyAlignment="1">
      <alignment horizontal="center"/>
    </xf>
    <xf numFmtId="9" fontId="0" fillId="0" borderId="29" xfId="0" applyNumberFormat="1" applyBorder="1" applyAlignment="1">
      <alignment horizontal="center"/>
    </xf>
    <xf numFmtId="0" fontId="0" fillId="0" borderId="25" xfId="0" applyBorder="1" applyAlignment="1">
      <alignment horizontal="center"/>
    </xf>
    <xf numFmtId="0" fontId="0" fillId="0" borderId="0" xfId="0" applyBorder="1" applyAlignment="1">
      <alignment horizontal="center"/>
    </xf>
    <xf numFmtId="0" fontId="0" fillId="0" borderId="26" xfId="0" applyBorder="1" applyAlignment="1">
      <alignment horizontal="center"/>
    </xf>
    <xf numFmtId="0" fontId="0" fillId="25" borderId="62" xfId="0" applyFill="1" applyBorder="1" applyAlignment="1">
      <alignment horizontal="center"/>
    </xf>
    <xf numFmtId="0" fontId="0" fillId="25" borderId="63" xfId="0" applyFill="1" applyBorder="1" applyAlignment="1">
      <alignment horizontal="center"/>
    </xf>
    <xf numFmtId="0" fontId="0" fillId="25" borderId="64" xfId="0" applyFill="1" applyBorder="1" applyAlignment="1">
      <alignment horizontal="center"/>
    </xf>
    <xf numFmtId="0" fontId="0" fillId="0" borderId="13" xfId="0"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9" fontId="0" fillId="31" borderId="62" xfId="0" applyNumberFormat="1" applyFill="1" applyBorder="1" applyAlignment="1">
      <alignment horizontal="center"/>
    </xf>
    <xf numFmtId="9" fontId="0" fillId="31" borderId="63" xfId="0" applyNumberFormat="1" applyFill="1" applyBorder="1" applyAlignment="1">
      <alignment horizontal="center"/>
    </xf>
    <xf numFmtId="9" fontId="0" fillId="31" borderId="48" xfId="0" applyNumberFormat="1" applyFill="1" applyBorder="1" applyAlignment="1">
      <alignment horizontal="center"/>
    </xf>
    <xf numFmtId="9" fontId="0" fillId="31" borderId="65" xfId="0" applyNumberFormat="1" applyFill="1" applyBorder="1" applyAlignment="1">
      <alignment horizontal="center"/>
    </xf>
    <xf numFmtId="9" fontId="0" fillId="31" borderId="64" xfId="0" applyNumberFormat="1" applyFill="1" applyBorder="1" applyAlignment="1">
      <alignment horizontal="center"/>
    </xf>
    <xf numFmtId="0" fontId="14" fillId="0" borderId="0" xfId="0" applyFont="1" applyAlignment="1">
      <alignment horizontal="center"/>
    </xf>
    <xf numFmtId="0" fontId="14" fillId="0" borderId="61" xfId="0" applyFont="1" applyBorder="1" applyAlignment="1">
      <alignment horizontal="center"/>
    </xf>
    <xf numFmtId="0" fontId="14" fillId="0" borderId="0" xfId="0" applyFont="1" applyAlignment="1" applyProtection="1">
      <alignment horizontal="center"/>
    </xf>
    <xf numFmtId="165" fontId="14" fillId="26" borderId="63" xfId="0" applyNumberFormat="1" applyFont="1" applyFill="1" applyBorder="1" applyAlignment="1" applyProtection="1">
      <alignment horizontal="center"/>
      <protection locked="0"/>
    </xf>
    <xf numFmtId="165" fontId="14" fillId="26" borderId="64" xfId="0" applyNumberFormat="1" applyFont="1" applyFill="1" applyBorder="1" applyAlignment="1" applyProtection="1">
      <alignment horizontal="center"/>
      <protection locked="0"/>
    </xf>
    <xf numFmtId="0" fontId="14" fillId="0" borderId="62" xfId="0" applyFont="1" applyBorder="1" applyAlignment="1">
      <alignment horizontal="center"/>
    </xf>
    <xf numFmtId="0" fontId="14" fillId="0" borderId="63" xfId="0" applyFont="1" applyBorder="1" applyAlignment="1">
      <alignment horizontal="center"/>
    </xf>
    <xf numFmtId="165" fontId="14" fillId="0" borderId="63" xfId="0" applyNumberFormat="1" applyFont="1" applyBorder="1" applyAlignment="1">
      <alignment horizontal="left"/>
    </xf>
    <xf numFmtId="165" fontId="14" fillId="0" borderId="64" xfId="0" applyNumberFormat="1" applyFont="1" applyBorder="1" applyAlignment="1">
      <alignment horizontal="left"/>
    </xf>
    <xf numFmtId="0" fontId="14" fillId="0" borderId="26" xfId="0" applyFont="1" applyBorder="1" applyAlignment="1" applyProtection="1">
      <alignment horizontal="center"/>
    </xf>
    <xf numFmtId="0" fontId="4" fillId="0" borderId="0" xfId="0" applyFont="1" applyFill="1" applyBorder="1" applyAlignment="1">
      <alignment horizontal="center"/>
    </xf>
    <xf numFmtId="0" fontId="14" fillId="0" borderId="64" xfId="0" applyFont="1" applyBorder="1" applyAlignment="1">
      <alignment horizontal="center"/>
    </xf>
    <xf numFmtId="0" fontId="14" fillId="0" borderId="0" xfId="0" applyFont="1" applyAlignment="1">
      <alignment horizontal="right"/>
    </xf>
    <xf numFmtId="0" fontId="14" fillId="0" borderId="61" xfId="0" applyFont="1" applyBorder="1" applyAlignment="1">
      <alignment horizontal="right"/>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Invoer" xfId="29" builtinId="20" customBuiltin="1"/>
    <cellStyle name="Kop 1" xfId="30" builtinId="16" customBuiltin="1"/>
    <cellStyle name="Kop 2" xfId="31" builtinId="17" customBuiltin="1"/>
    <cellStyle name="Kop 3" xfId="32" builtinId="18" customBuiltin="1"/>
    <cellStyle name="Kop 4" xfId="33" builtinId="19" customBuiltin="1"/>
    <cellStyle name="Neutraal" xfId="34" builtinId="28" customBuiltin="1"/>
    <cellStyle name="Notitie" xfId="35" builtinId="10" customBuiltin="1"/>
    <cellStyle name="Ongeldig" xfId="36" builtinId="27" customBuiltin="1"/>
    <cellStyle name="Standaard" xfId="0" builtinId="0"/>
    <cellStyle name="Titel" xfId="37" builtinId="15" customBuiltin="1"/>
    <cellStyle name="Totaal" xfId="38" builtinId="25" customBuiltin="1"/>
    <cellStyle name="Uitvoer" xfId="39" builtinId="21" customBuiltin="1"/>
    <cellStyle name="Verklarende tekst" xfId="40" builtinId="53" customBuiltin="1"/>
    <cellStyle name="Waarschuwingstekst" xfId="41" builtinId="11" customBuiltin="1"/>
  </cellStyles>
  <dxfs count="1080">
    <dxf>
      <font>
        <condense val="0"/>
        <extend val="0"/>
        <color indexed="9"/>
      </font>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9"/>
      </font>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ill>
        <patternFill>
          <bgColor indexed="13"/>
        </patternFill>
      </fill>
    </dxf>
    <dxf>
      <fill>
        <patternFill>
          <bgColor indexed="29"/>
        </patternFill>
      </fill>
    </dxf>
    <dxf>
      <fill>
        <patternFill>
          <bgColor indexed="44"/>
        </patternFill>
      </fill>
    </dxf>
    <dxf>
      <font>
        <condense val="0"/>
        <extend val="0"/>
        <color indexed="31"/>
      </font>
      <fill>
        <patternFill>
          <bgColor indexed="31"/>
        </patternFill>
      </fill>
    </dxf>
    <dxf>
      <fill>
        <patternFill>
          <bgColor indexed="42"/>
        </patternFill>
      </fill>
    </dxf>
    <dxf>
      <fill>
        <patternFill>
          <bgColor indexed="44"/>
        </patternFill>
      </fill>
    </dxf>
    <dxf>
      <fill>
        <patternFill>
          <bgColor indexed="29"/>
        </patternFill>
      </fill>
    </dxf>
    <dxf>
      <font>
        <condense val="0"/>
        <extend val="0"/>
        <color auto="1"/>
      </font>
      <fill>
        <patternFill>
          <bgColor indexed="42"/>
        </patternFill>
      </fill>
    </dxf>
    <dxf>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ont>
        <condense val="0"/>
        <extend val="0"/>
        <color auto="1"/>
      </font>
      <fill>
        <patternFill>
          <bgColor indexed="29"/>
        </patternFill>
      </fill>
    </dxf>
    <dxf>
      <font>
        <condense val="0"/>
        <extend val="0"/>
        <color auto="1"/>
      </font>
      <fill>
        <patternFill>
          <bgColor indexed="42"/>
        </patternFill>
      </fill>
    </dxf>
    <dxf>
      <font>
        <condense val="0"/>
        <extend val="0"/>
        <color indexed="9"/>
      </font>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13"/>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29"/>
        </patternFill>
      </fill>
      <border>
        <left style="thin">
          <color indexed="64"/>
        </left>
        <right style="thin">
          <color indexed="64"/>
        </right>
        <top style="thin">
          <color indexed="64"/>
        </top>
        <bottom style="thin">
          <color indexed="64"/>
        </bottom>
      </border>
    </dxf>
    <dxf>
      <font>
        <b val="0"/>
        <i val="0"/>
        <condense val="0"/>
        <extend val="0"/>
        <color auto="1"/>
      </font>
      <fill>
        <patternFill>
          <bgColor indexed="44"/>
        </patternFill>
      </fill>
      <border>
        <left style="thin">
          <color indexed="64"/>
        </left>
        <right style="thin">
          <color indexed="64"/>
        </right>
        <top style="thin">
          <color indexed="64"/>
        </top>
        <bottom style="thin">
          <color indexed="64"/>
        </bottom>
      </border>
    </dxf>
    <dxf>
      <font>
        <condense val="0"/>
        <extend val="0"/>
        <color indexed="26"/>
      </font>
      <fill>
        <patternFill>
          <bgColor indexed="9"/>
        </patternFill>
      </fill>
      <border>
        <left style="thin">
          <color indexed="64"/>
        </left>
        <right style="thin">
          <color indexed="64"/>
        </right>
        <top style="hair">
          <color indexed="64"/>
        </top>
        <bottom style="hair">
          <color indexed="64"/>
        </bottom>
      </border>
    </dxf>
    <dxf>
      <fill>
        <patternFill>
          <bgColor indexed="9"/>
        </patternFill>
      </fill>
      <border>
        <left style="thin">
          <color indexed="64"/>
        </left>
        <right style="thin">
          <color indexed="64"/>
        </right>
        <top style="thin">
          <color indexed="64"/>
        </top>
        <bottom style="thin">
          <color indexed="64"/>
        </bottom>
      </border>
    </dxf>
    <dxf>
      <font>
        <condense val="0"/>
        <extend val="0"/>
        <color indexed="9"/>
      </font>
      <fill>
        <patternFill>
          <bgColor indexed="9"/>
        </patternFill>
      </fill>
      <border>
        <left style="thin">
          <color indexed="64"/>
        </left>
        <right style="thin">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condense val="0"/>
        <extend val="0"/>
        <color auto="1"/>
      </font>
      <fill>
        <patternFill>
          <bgColor indexed="26"/>
        </patternFill>
      </fill>
      <border>
        <left style="thin">
          <color indexed="64"/>
        </left>
        <right style="thin">
          <color indexed="64"/>
        </right>
        <top style="thin">
          <color indexed="64"/>
        </top>
        <bottom style="thin">
          <color indexed="64"/>
        </bottom>
      </border>
    </dxf>
    <dxf>
      <font>
        <condense val="0"/>
        <extend val="0"/>
        <color auto="1"/>
      </font>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hair">
          <color indexed="64"/>
        </left>
        <right style="hair">
          <color indexed="64"/>
        </right>
        <top style="hair">
          <color indexed="64"/>
        </top>
        <bottom style="hair">
          <color indexed="64"/>
        </bottom>
      </border>
    </dxf>
    <dxf>
      <fill>
        <patternFill>
          <bgColor indexed="26"/>
        </patternFill>
      </fill>
      <border>
        <left style="hair">
          <color indexed="64"/>
        </left>
        <right style="hair">
          <color indexed="64"/>
        </right>
        <top style="hair">
          <color indexed="64"/>
        </top>
        <bottom style="hair">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ont>
        <condense val="0"/>
        <extend val="0"/>
        <color auto="1"/>
      </font>
      <fill>
        <patternFill>
          <bgColor indexed="42"/>
        </patternFill>
      </fill>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right/>
        <top style="thin">
          <color indexed="64"/>
        </top>
        <bottom style="thin">
          <color indexed="64"/>
        </bottom>
      </border>
    </dxf>
    <dxf>
      <border>
        <left style="thin">
          <color indexed="64"/>
        </left>
        <right style="thin">
          <color indexed="64"/>
        </right>
        <top style="hair">
          <color indexed="64"/>
        </top>
        <bottom style="hair">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42"/>
        </patternFill>
      </fill>
      <border>
        <left style="thin">
          <color indexed="64"/>
        </left>
        <right style="thin">
          <color indexed="64"/>
        </right>
        <top style="thin">
          <color indexed="64"/>
        </top>
        <bottom style="thin">
          <color indexed="64"/>
        </bottom>
      </border>
    </dxf>
    <dxf>
      <border>
        <left style="thin">
          <color indexed="64"/>
        </left>
        <right style="thin">
          <color indexed="64"/>
        </right>
        <top style="hair">
          <color indexed="64"/>
        </top>
        <bottom style="hair">
          <color indexed="64"/>
        </bottom>
      </border>
    </dxf>
    <dxf>
      <font>
        <b val="0"/>
        <i val="0"/>
        <condense val="0"/>
        <extend val="0"/>
        <color auto="1"/>
      </font>
      <fill>
        <patternFill>
          <bgColor indexed="29"/>
        </patternFill>
      </fill>
    </dxf>
    <dxf>
      <font>
        <condense val="0"/>
        <extend val="0"/>
        <color indexed="9"/>
      </font>
      <fill>
        <patternFill>
          <bgColor indexed="29"/>
        </patternFill>
      </fill>
    </dxf>
    <dxf>
      <font>
        <condense val="0"/>
        <extend val="0"/>
        <color auto="1"/>
      </font>
      <fill>
        <patternFill>
          <bgColor indexed="9"/>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fill>
        <patternFill>
          <bgColor indexed="42"/>
        </patternFill>
      </fill>
    </dxf>
    <dxf>
      <font>
        <condense val="0"/>
        <extend val="0"/>
        <color auto="1"/>
      </font>
      <border>
        <left style="thin">
          <color indexed="64"/>
        </left>
        <right style="thin">
          <color indexed="64"/>
        </right>
        <top style="thin">
          <color indexed="64"/>
        </top>
        <bottom style="thin">
          <color indexed="64"/>
        </bottom>
      </border>
    </dxf>
    <dxf>
      <font>
        <condense val="0"/>
        <extend val="0"/>
        <color auto="1"/>
      </font>
      <border>
        <left style="thin">
          <color indexed="64"/>
        </left>
        <right style="thin">
          <color indexed="64"/>
        </right>
        <top style="thin">
          <color indexed="64"/>
        </top>
        <bottom style="thin">
          <color indexed="64"/>
        </bottom>
      </border>
    </dxf>
    <dxf>
      <fill>
        <patternFill>
          <bgColor indexed="29"/>
        </patternFill>
      </fill>
    </dxf>
    <dxf>
      <fill>
        <patternFill>
          <bgColor indexed="42"/>
        </patternFill>
      </fill>
    </dxf>
    <dxf>
      <fill>
        <patternFill>
          <bgColor indexed="29"/>
        </patternFill>
      </fill>
    </dxf>
    <dxf>
      <font>
        <condense val="0"/>
        <extend val="0"/>
        <color indexed="9"/>
      </font>
      <fill>
        <patternFill>
          <bgColor indexed="9"/>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29"/>
        </patternFill>
      </fill>
    </dxf>
    <dxf>
      <fill>
        <patternFill>
          <bgColor indexed="42"/>
        </patternFill>
      </fill>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ill>
        <patternFill>
          <bgColor indexed="29"/>
        </patternFill>
      </fill>
      <border>
        <left style="thin">
          <color indexed="64"/>
        </left>
        <right style="thin">
          <color indexed="64"/>
        </right>
        <top style="thin">
          <color indexed="64"/>
        </top>
        <bottom style="thin">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26"/>
        </patternFill>
      </fill>
      <border>
        <left style="thin">
          <color indexed="64"/>
        </left>
        <right style="thin">
          <color indexed="64"/>
        </right>
        <top style="hair">
          <color indexed="64"/>
        </top>
        <bottom style="hair">
          <color indexed="64"/>
        </bottom>
      </border>
    </dxf>
    <dxf>
      <fill>
        <patternFill>
          <bgColor indexed="42"/>
        </patternFill>
      </fill>
      <border>
        <left style="thin">
          <color indexed="64"/>
        </left>
        <right style="thin">
          <color indexed="64"/>
        </right>
        <top style="thin">
          <color indexed="64"/>
        </top>
        <bottom style="thin">
          <color indexed="64"/>
        </bottom>
      </border>
    </dxf>
    <dxf>
      <font>
        <b/>
        <i val="0"/>
        <condense val="0"/>
        <extend val="0"/>
        <color auto="1"/>
      </font>
      <fill>
        <patternFill>
          <bgColor indexed="29"/>
        </patternFill>
      </fill>
      <border>
        <left style="thin">
          <color indexed="64"/>
        </left>
        <right style="thin">
          <color indexed="64"/>
        </right>
        <top style="thin">
          <color indexed="64"/>
        </top>
        <bottom style="thin">
          <color indexed="64"/>
        </bottom>
      </border>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ill>
        <patternFill>
          <bgColor indexed="44"/>
        </patternFill>
      </fill>
    </dxf>
    <dxf>
      <fill>
        <patternFill>
          <bgColor indexed="42"/>
        </patternFill>
      </fill>
    </dxf>
    <dxf>
      <fill>
        <patternFill>
          <bgColor indexed="29"/>
        </patternFill>
      </fill>
    </dxf>
    <dxf>
      <font>
        <condense val="0"/>
        <extend val="0"/>
        <color auto="1"/>
      </font>
      <fill>
        <patternFill>
          <bgColor indexed="44"/>
        </patternFill>
      </fill>
    </dxf>
    <dxf>
      <font>
        <condense val="0"/>
        <extend val="0"/>
        <color auto="1"/>
      </font>
      <fill>
        <patternFill>
          <bgColor indexed="26"/>
        </patternFill>
      </fill>
    </dxf>
    <dxf>
      <fill>
        <patternFill>
          <bgColor indexed="51"/>
        </patternFill>
      </fill>
    </dxf>
    <dxf>
      <fill>
        <patternFill>
          <bgColor indexed="3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M4'!$J$59:$S$59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M4'!$J$60:$S$60</c:f>
              <c:numCache>
                <c:formatCode>0%</c:formatCode>
                <c:ptCount val="10"/>
                <c:pt idx="0">
                  <c:v>0</c:v>
                </c:pt>
                <c:pt idx="1">
                  <c:v>1</c:v>
                </c:pt>
                <c:pt idx="2">
                  <c:v>0.5</c:v>
                </c:pt>
                <c:pt idx="3">
                  <c:v>1</c:v>
                </c:pt>
                <c:pt idx="4">
                  <c:v>0.5</c:v>
                </c:pt>
                <c:pt idx="5">
                  <c:v>0.39999999999999997</c:v>
                </c:pt>
                <c:pt idx="6" formatCode="0.00%">
                  <c:v>0</c:v>
                </c:pt>
                <c:pt idx="7">
                  <c:v>1</c:v>
                </c:pt>
                <c:pt idx="8">
                  <c:v>0</c:v>
                </c:pt>
                <c:pt idx="9">
                  <c:v>0</c:v>
                </c:pt>
              </c:numCache>
            </c:numRef>
          </c:val>
        </c:ser>
        <c:dLbls>
          <c:showLegendKey val="0"/>
          <c:showVal val="0"/>
          <c:showCatName val="0"/>
          <c:showSerName val="0"/>
          <c:showPercent val="0"/>
          <c:showBubbleSize val="0"/>
        </c:dLbls>
        <c:gapWidth val="50"/>
        <c:axId val="218074648"/>
        <c:axId val="218098408"/>
      </c:barChart>
      <c:catAx>
        <c:axId val="21807464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18098408"/>
        <c:crosses val="autoZero"/>
        <c:auto val="1"/>
        <c:lblAlgn val="ctr"/>
        <c:lblOffset val="100"/>
        <c:tickLblSkip val="1"/>
        <c:tickMarkSkip val="1"/>
        <c:noMultiLvlLbl val="0"/>
      </c:catAx>
      <c:valAx>
        <c:axId val="218098408"/>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18074648"/>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E5'!$J$59:$S$59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E5'!$J$60:$S$60</c:f>
              <c:numCache>
                <c:formatCode>0%</c:formatCode>
                <c:ptCount val="10"/>
                <c:pt idx="0">
                  <c:v>0.66666666666666663</c:v>
                </c:pt>
                <c:pt idx="1">
                  <c:v>1</c:v>
                </c:pt>
                <c:pt idx="2">
                  <c:v>0.66666666666666663</c:v>
                </c:pt>
                <c:pt idx="3">
                  <c:v>0.66666666666666663</c:v>
                </c:pt>
                <c:pt idx="4">
                  <c:v>0.66666666666666663</c:v>
                </c:pt>
                <c:pt idx="5">
                  <c:v>0.73333333333333339</c:v>
                </c:pt>
                <c:pt idx="6" formatCode="0.00%">
                  <c:v>0</c:v>
                </c:pt>
                <c:pt idx="7">
                  <c:v>1</c:v>
                </c:pt>
                <c:pt idx="8">
                  <c:v>0</c:v>
                </c:pt>
                <c:pt idx="9">
                  <c:v>0</c:v>
                </c:pt>
              </c:numCache>
            </c:numRef>
          </c:val>
        </c:ser>
        <c:dLbls>
          <c:showLegendKey val="0"/>
          <c:showVal val="0"/>
          <c:showCatName val="0"/>
          <c:showSerName val="0"/>
          <c:showPercent val="0"/>
          <c:showBubbleSize val="0"/>
        </c:dLbls>
        <c:gapWidth val="50"/>
        <c:axId val="229853680"/>
        <c:axId val="229854072"/>
      </c:barChart>
      <c:catAx>
        <c:axId val="22985368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29854072"/>
        <c:crosses val="autoZero"/>
        <c:auto val="1"/>
        <c:lblAlgn val="ctr"/>
        <c:lblOffset val="100"/>
        <c:tickLblSkip val="1"/>
        <c:tickMarkSkip val="1"/>
        <c:noMultiLvlLbl val="0"/>
      </c:catAx>
      <c:valAx>
        <c:axId val="229854072"/>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29853680"/>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E5'!$J$71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E5'!$K$63:$O$63</c:f>
              <c:strCache>
                <c:ptCount val="5"/>
                <c:pt idx="0">
                  <c:v>A</c:v>
                </c:pt>
                <c:pt idx="1">
                  <c:v>B</c:v>
                </c:pt>
                <c:pt idx="2">
                  <c:v>C</c:v>
                </c:pt>
                <c:pt idx="3">
                  <c:v>D</c:v>
                </c:pt>
                <c:pt idx="4">
                  <c:v>E</c:v>
                </c:pt>
              </c:strCache>
            </c:strRef>
          </c:cat>
          <c:val>
            <c:numRef>
              <c:f>'RIO - E5'!$K$71:$O$71</c:f>
              <c:numCache>
                <c:formatCode>0%</c:formatCode>
                <c:ptCount val="5"/>
                <c:pt idx="0">
                  <c:v>0</c:v>
                </c:pt>
                <c:pt idx="1">
                  <c:v>0</c:v>
                </c:pt>
                <c:pt idx="2">
                  <c:v>1</c:v>
                </c:pt>
                <c:pt idx="3">
                  <c:v>0</c:v>
                </c:pt>
                <c:pt idx="4">
                  <c:v>0</c:v>
                </c:pt>
              </c:numCache>
            </c:numRef>
          </c:val>
        </c:ser>
        <c:ser>
          <c:idx val="2"/>
          <c:order val="2"/>
          <c:tx>
            <c:strRef>
              <c:f>'RIO - E5'!$J$72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E5'!$K$63:$O$63</c:f>
              <c:strCache>
                <c:ptCount val="5"/>
                <c:pt idx="0">
                  <c:v>A</c:v>
                </c:pt>
                <c:pt idx="1">
                  <c:v>B</c:v>
                </c:pt>
                <c:pt idx="2">
                  <c:v>C</c:v>
                </c:pt>
                <c:pt idx="3">
                  <c:v>D</c:v>
                </c:pt>
                <c:pt idx="4">
                  <c:v>E</c:v>
                </c:pt>
              </c:strCache>
            </c:strRef>
          </c:cat>
          <c:val>
            <c:numRef>
              <c:f>'RIO - E5'!$K$72:$O$72</c:f>
              <c:numCache>
                <c:formatCode>0%</c:formatCode>
                <c:ptCount val="5"/>
                <c:pt idx="0">
                  <c:v>0</c:v>
                </c:pt>
                <c:pt idx="1">
                  <c:v>0</c:v>
                </c:pt>
                <c:pt idx="2">
                  <c:v>0.73333333333333339</c:v>
                </c:pt>
                <c:pt idx="3">
                  <c:v>0</c:v>
                </c:pt>
                <c:pt idx="4">
                  <c:v>0</c:v>
                </c:pt>
              </c:numCache>
            </c:numRef>
          </c:val>
        </c:ser>
        <c:dLbls>
          <c:showLegendKey val="0"/>
          <c:showVal val="0"/>
          <c:showCatName val="0"/>
          <c:showSerName val="0"/>
          <c:showPercent val="0"/>
          <c:showBubbleSize val="0"/>
        </c:dLbls>
        <c:gapWidth val="40"/>
        <c:axId val="229854856"/>
        <c:axId val="229855248"/>
      </c:barChart>
      <c:barChart>
        <c:barDir val="col"/>
        <c:grouping val="clustered"/>
        <c:varyColors val="0"/>
        <c:ser>
          <c:idx val="0"/>
          <c:order val="0"/>
          <c:tx>
            <c:strRef>
              <c:f>'RIO - E5'!$J$64</c:f>
              <c:strCache>
                <c:ptCount val="1"/>
                <c:pt idx="0">
                  <c:v>Norm</c:v>
                </c:pt>
              </c:strCache>
            </c:strRef>
          </c:tx>
          <c:spPr>
            <a:noFill/>
            <a:ln w="25400">
              <a:solidFill>
                <a:srgbClr val="000000"/>
              </a:solidFill>
              <a:prstDash val="solid"/>
            </a:ln>
          </c:spPr>
          <c:invertIfNegative val="0"/>
          <c:cat>
            <c:strRef>
              <c:f>'RIO - E5'!$K$63:$O$63</c:f>
              <c:strCache>
                <c:ptCount val="5"/>
                <c:pt idx="0">
                  <c:v>A</c:v>
                </c:pt>
                <c:pt idx="1">
                  <c:v>B</c:v>
                </c:pt>
                <c:pt idx="2">
                  <c:v>C</c:v>
                </c:pt>
                <c:pt idx="3">
                  <c:v>D</c:v>
                </c:pt>
                <c:pt idx="4">
                  <c:v>E</c:v>
                </c:pt>
              </c:strCache>
            </c:strRef>
          </c:cat>
          <c:val>
            <c:numRef>
              <c:f>'RIO - E5'!$K$64:$O$64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29855640"/>
        <c:axId val="229856032"/>
      </c:barChart>
      <c:catAx>
        <c:axId val="2298548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29855248"/>
        <c:crosses val="autoZero"/>
        <c:auto val="1"/>
        <c:lblAlgn val="ctr"/>
        <c:lblOffset val="100"/>
        <c:tickLblSkip val="1"/>
        <c:tickMarkSkip val="1"/>
        <c:noMultiLvlLbl val="0"/>
      </c:catAx>
      <c:valAx>
        <c:axId val="229855248"/>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29854856"/>
        <c:crosses val="autoZero"/>
        <c:crossBetween val="between"/>
        <c:majorUnit val="0.2"/>
      </c:valAx>
      <c:catAx>
        <c:axId val="229855640"/>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29856032"/>
        <c:crosses val="autoZero"/>
        <c:auto val="1"/>
        <c:lblAlgn val="ctr"/>
        <c:lblOffset val="100"/>
        <c:noMultiLvlLbl val="0"/>
      </c:catAx>
      <c:valAx>
        <c:axId val="229856032"/>
        <c:scaling>
          <c:orientation val="minMax"/>
        </c:scaling>
        <c:delete val="1"/>
        <c:axPos val="r"/>
        <c:numFmt formatCode="0%" sourceLinked="1"/>
        <c:majorTickMark val="out"/>
        <c:minorTickMark val="none"/>
        <c:tickLblPos val="nextTo"/>
        <c:crossAx val="229855640"/>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34862385321101E-2"/>
          <c:y val="1.0869584447153191E-2"/>
          <c:w val="0.73509174311926606"/>
          <c:h val="0.98188579505950491"/>
        </c:manualLayout>
      </c:layout>
      <c:barChart>
        <c:barDir val="col"/>
        <c:grouping val="clustered"/>
        <c:varyColors val="0"/>
        <c:ser>
          <c:idx val="0"/>
          <c:order val="0"/>
          <c:tx>
            <c:strRef>
              <c:f>'OP - E5'!$F$11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E5'!$F$12</c:f>
              <c:numCache>
                <c:formatCode>0%</c:formatCode>
                <c:ptCount val="1"/>
                <c:pt idx="0">
                  <c:v>1.0249999999999999</c:v>
                </c:pt>
              </c:numCache>
            </c:numRef>
          </c:val>
        </c:ser>
        <c:ser>
          <c:idx val="1"/>
          <c:order val="1"/>
          <c:tx>
            <c:strRef>
              <c:f>'OP - E5'!$G$11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E5'!$G$12</c:f>
              <c:numCache>
                <c:formatCode>0%</c:formatCode>
                <c:ptCount val="1"/>
                <c:pt idx="0">
                  <c:v>0.67500000000000016</c:v>
                </c:pt>
              </c:numCache>
            </c:numRef>
          </c:val>
        </c:ser>
        <c:ser>
          <c:idx val="2"/>
          <c:order val="2"/>
          <c:tx>
            <c:strRef>
              <c:f>'OP - E5'!$H$11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E5'!$H$12</c:f>
              <c:numCache>
                <c:formatCode>0%</c:formatCode>
                <c:ptCount val="1"/>
                <c:pt idx="0">
                  <c:v>0.6</c:v>
                </c:pt>
              </c:numCache>
            </c:numRef>
          </c:val>
        </c:ser>
        <c:ser>
          <c:idx val="3"/>
          <c:order val="3"/>
          <c:tx>
            <c:strRef>
              <c:f>'OP - E5'!$I$11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E5'!$I$12</c:f>
              <c:numCache>
                <c:formatCode>0%</c:formatCode>
                <c:ptCount val="1"/>
                <c:pt idx="0">
                  <c:v>1.125</c:v>
                </c:pt>
              </c:numCache>
            </c:numRef>
          </c:val>
        </c:ser>
        <c:ser>
          <c:idx val="4"/>
          <c:order val="4"/>
          <c:tx>
            <c:strRef>
              <c:f>'OP - E5'!$J$11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E5'!$J$12</c:f>
              <c:numCache>
                <c:formatCode>0%</c:formatCode>
                <c:ptCount val="1"/>
                <c:pt idx="0">
                  <c:v>0.2</c:v>
                </c:pt>
              </c:numCache>
            </c:numRef>
          </c:val>
        </c:ser>
        <c:dLbls>
          <c:showLegendKey val="0"/>
          <c:showVal val="0"/>
          <c:showCatName val="0"/>
          <c:showSerName val="0"/>
          <c:showPercent val="0"/>
          <c:showBubbleSize val="0"/>
        </c:dLbls>
        <c:gapWidth val="50"/>
        <c:overlap val="-50"/>
        <c:axId val="229856816"/>
        <c:axId val="229857208"/>
      </c:barChart>
      <c:barChart>
        <c:barDir val="col"/>
        <c:grouping val="clustered"/>
        <c:varyColors val="0"/>
        <c:ser>
          <c:idx val="6"/>
          <c:order val="5"/>
          <c:tx>
            <c:strRef>
              <c:f>'OP - E5'!$K$11</c:f>
              <c:strCache>
                <c:ptCount val="1"/>
                <c:pt idx="0">
                  <c:v>80% Norm</c:v>
                </c:pt>
              </c:strCache>
            </c:strRef>
          </c:tx>
          <c:spPr>
            <a:noFill/>
            <a:ln w="38100">
              <a:solidFill>
                <a:srgbClr val="FF0000"/>
              </a:solidFill>
              <a:prstDash val="solid"/>
            </a:ln>
          </c:spPr>
          <c:invertIfNegative val="0"/>
          <c:val>
            <c:numRef>
              <c:f>'OP - E5'!$K$12</c:f>
              <c:numCache>
                <c:formatCode>0%</c:formatCode>
                <c:ptCount val="1"/>
                <c:pt idx="0">
                  <c:v>0.48</c:v>
                </c:pt>
              </c:numCache>
            </c:numRef>
          </c:val>
        </c:ser>
        <c:ser>
          <c:idx val="5"/>
          <c:order val="6"/>
          <c:tx>
            <c:strRef>
              <c:f>'OP - E5'!$L$11</c:f>
              <c:strCache>
                <c:ptCount val="1"/>
                <c:pt idx="0">
                  <c:v>Profiel</c:v>
                </c:pt>
              </c:strCache>
            </c:strRef>
          </c:tx>
          <c:spPr>
            <a:noFill/>
            <a:ln w="38100">
              <a:solidFill>
                <a:srgbClr val="0000FF"/>
              </a:solidFill>
              <a:prstDash val="solid"/>
            </a:ln>
          </c:spPr>
          <c:invertIfNegative val="0"/>
          <c:val>
            <c:numRef>
              <c:f>'OP - E5'!$L$12</c:f>
              <c:numCache>
                <c:formatCode>0%</c:formatCode>
                <c:ptCount val="1"/>
                <c:pt idx="0">
                  <c:v>0.6</c:v>
                </c:pt>
              </c:numCache>
            </c:numRef>
          </c:val>
        </c:ser>
        <c:dLbls>
          <c:showLegendKey val="0"/>
          <c:showVal val="0"/>
          <c:showCatName val="0"/>
          <c:showSerName val="0"/>
          <c:showPercent val="0"/>
          <c:showBubbleSize val="0"/>
        </c:dLbls>
        <c:gapWidth val="0"/>
        <c:overlap val="100"/>
        <c:axId val="229857600"/>
        <c:axId val="229857992"/>
      </c:barChart>
      <c:catAx>
        <c:axId val="229856816"/>
        <c:scaling>
          <c:orientation val="minMax"/>
        </c:scaling>
        <c:delete val="1"/>
        <c:axPos val="b"/>
        <c:majorTickMark val="out"/>
        <c:minorTickMark val="none"/>
        <c:tickLblPos val="nextTo"/>
        <c:crossAx val="229857208"/>
        <c:crossesAt val="0"/>
        <c:auto val="1"/>
        <c:lblAlgn val="ctr"/>
        <c:lblOffset val="100"/>
        <c:noMultiLvlLbl val="0"/>
      </c:catAx>
      <c:valAx>
        <c:axId val="229857208"/>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29856816"/>
        <c:crosses val="autoZero"/>
        <c:crossBetween val="between"/>
        <c:majorUnit val="0.2"/>
        <c:minorUnit val="0.04"/>
      </c:valAx>
      <c:catAx>
        <c:axId val="229857600"/>
        <c:scaling>
          <c:orientation val="minMax"/>
        </c:scaling>
        <c:delete val="1"/>
        <c:axPos val="b"/>
        <c:majorTickMark val="out"/>
        <c:minorTickMark val="none"/>
        <c:tickLblPos val="nextTo"/>
        <c:crossAx val="229857992"/>
        <c:crosses val="autoZero"/>
        <c:auto val="1"/>
        <c:lblAlgn val="ctr"/>
        <c:lblOffset val="100"/>
        <c:noMultiLvlLbl val="0"/>
      </c:catAx>
      <c:valAx>
        <c:axId val="229857992"/>
        <c:scaling>
          <c:orientation val="minMax"/>
        </c:scaling>
        <c:delete val="1"/>
        <c:axPos val="r"/>
        <c:numFmt formatCode="0%" sourceLinked="1"/>
        <c:majorTickMark val="out"/>
        <c:minorTickMark val="none"/>
        <c:tickLblPos val="nextTo"/>
        <c:crossAx val="229857600"/>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6261467889908252"/>
          <c:y val="1.9927536231884056E-2"/>
          <c:w val="0.2259174311926605"/>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M6'!$J$59:$S$59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M6'!$J$60:$S$60</c:f>
              <c:numCache>
                <c:formatCode>0%</c:formatCode>
                <c:ptCount val="10"/>
                <c:pt idx="0">
                  <c:v>0.66666666666666663</c:v>
                </c:pt>
                <c:pt idx="1">
                  <c:v>1</c:v>
                </c:pt>
                <c:pt idx="2">
                  <c:v>1</c:v>
                </c:pt>
                <c:pt idx="3">
                  <c:v>0.66666666666666663</c:v>
                </c:pt>
                <c:pt idx="4">
                  <c:v>0.66666666666666663</c:v>
                </c:pt>
                <c:pt idx="5">
                  <c:v>0.80000000000000016</c:v>
                </c:pt>
                <c:pt idx="6" formatCode="0.00%">
                  <c:v>0</c:v>
                </c:pt>
                <c:pt idx="7">
                  <c:v>1</c:v>
                </c:pt>
                <c:pt idx="8">
                  <c:v>0</c:v>
                </c:pt>
                <c:pt idx="9">
                  <c:v>0</c:v>
                </c:pt>
              </c:numCache>
            </c:numRef>
          </c:val>
        </c:ser>
        <c:dLbls>
          <c:showLegendKey val="0"/>
          <c:showVal val="0"/>
          <c:showCatName val="0"/>
          <c:showSerName val="0"/>
          <c:showPercent val="0"/>
          <c:showBubbleSize val="0"/>
        </c:dLbls>
        <c:gapWidth val="50"/>
        <c:axId val="232349440"/>
        <c:axId val="232349832"/>
      </c:barChart>
      <c:catAx>
        <c:axId val="23234944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32349832"/>
        <c:crosses val="autoZero"/>
        <c:auto val="1"/>
        <c:lblAlgn val="ctr"/>
        <c:lblOffset val="100"/>
        <c:tickLblSkip val="1"/>
        <c:tickMarkSkip val="1"/>
        <c:noMultiLvlLbl val="0"/>
      </c:catAx>
      <c:valAx>
        <c:axId val="232349832"/>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32349440"/>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M6'!$J$71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M6'!$K$63:$O$63</c:f>
              <c:strCache>
                <c:ptCount val="5"/>
                <c:pt idx="0">
                  <c:v>A</c:v>
                </c:pt>
                <c:pt idx="1">
                  <c:v>B</c:v>
                </c:pt>
                <c:pt idx="2">
                  <c:v>C</c:v>
                </c:pt>
                <c:pt idx="3">
                  <c:v>D</c:v>
                </c:pt>
                <c:pt idx="4">
                  <c:v>E</c:v>
                </c:pt>
              </c:strCache>
            </c:strRef>
          </c:cat>
          <c:val>
            <c:numRef>
              <c:f>'RIO - M6'!$K$71:$O$71</c:f>
              <c:numCache>
                <c:formatCode>0%</c:formatCode>
                <c:ptCount val="5"/>
                <c:pt idx="0">
                  <c:v>0</c:v>
                </c:pt>
                <c:pt idx="1">
                  <c:v>0</c:v>
                </c:pt>
                <c:pt idx="2">
                  <c:v>0.66666666666666663</c:v>
                </c:pt>
                <c:pt idx="3">
                  <c:v>0.33333333333333331</c:v>
                </c:pt>
                <c:pt idx="4">
                  <c:v>0</c:v>
                </c:pt>
              </c:numCache>
            </c:numRef>
          </c:val>
        </c:ser>
        <c:ser>
          <c:idx val="2"/>
          <c:order val="2"/>
          <c:tx>
            <c:strRef>
              <c:f>'RIO - M6'!$J$72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M6'!$K$63:$O$63</c:f>
              <c:strCache>
                <c:ptCount val="5"/>
                <c:pt idx="0">
                  <c:v>A</c:v>
                </c:pt>
                <c:pt idx="1">
                  <c:v>B</c:v>
                </c:pt>
                <c:pt idx="2">
                  <c:v>C</c:v>
                </c:pt>
                <c:pt idx="3">
                  <c:v>D</c:v>
                </c:pt>
                <c:pt idx="4">
                  <c:v>E</c:v>
                </c:pt>
              </c:strCache>
            </c:strRef>
          </c:cat>
          <c:val>
            <c:numRef>
              <c:f>'RIO - M6'!$K$72:$O$72</c:f>
              <c:numCache>
                <c:formatCode>0%</c:formatCode>
                <c:ptCount val="5"/>
                <c:pt idx="0">
                  <c:v>0</c:v>
                </c:pt>
                <c:pt idx="1">
                  <c:v>0</c:v>
                </c:pt>
                <c:pt idx="2">
                  <c:v>0.6</c:v>
                </c:pt>
                <c:pt idx="3">
                  <c:v>0.19999999999999998</c:v>
                </c:pt>
                <c:pt idx="4">
                  <c:v>0</c:v>
                </c:pt>
              </c:numCache>
            </c:numRef>
          </c:val>
        </c:ser>
        <c:dLbls>
          <c:showLegendKey val="0"/>
          <c:showVal val="0"/>
          <c:showCatName val="0"/>
          <c:showSerName val="0"/>
          <c:showPercent val="0"/>
          <c:showBubbleSize val="0"/>
        </c:dLbls>
        <c:gapWidth val="40"/>
        <c:axId val="232350616"/>
        <c:axId val="232351008"/>
      </c:barChart>
      <c:barChart>
        <c:barDir val="col"/>
        <c:grouping val="clustered"/>
        <c:varyColors val="0"/>
        <c:ser>
          <c:idx val="0"/>
          <c:order val="0"/>
          <c:tx>
            <c:strRef>
              <c:f>'RIO - M6'!$J$64</c:f>
              <c:strCache>
                <c:ptCount val="1"/>
                <c:pt idx="0">
                  <c:v>Norm</c:v>
                </c:pt>
              </c:strCache>
            </c:strRef>
          </c:tx>
          <c:spPr>
            <a:noFill/>
            <a:ln w="25400">
              <a:solidFill>
                <a:srgbClr val="000000"/>
              </a:solidFill>
              <a:prstDash val="solid"/>
            </a:ln>
          </c:spPr>
          <c:invertIfNegative val="0"/>
          <c:cat>
            <c:strRef>
              <c:f>'RIO - M6'!$K$63:$O$63</c:f>
              <c:strCache>
                <c:ptCount val="5"/>
                <c:pt idx="0">
                  <c:v>A</c:v>
                </c:pt>
                <c:pt idx="1">
                  <c:v>B</c:v>
                </c:pt>
                <c:pt idx="2">
                  <c:v>C</c:v>
                </c:pt>
                <c:pt idx="3">
                  <c:v>D</c:v>
                </c:pt>
                <c:pt idx="4">
                  <c:v>E</c:v>
                </c:pt>
              </c:strCache>
            </c:strRef>
          </c:cat>
          <c:val>
            <c:numRef>
              <c:f>'RIO - M6'!$K$64:$O$64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32351400"/>
        <c:axId val="232351792"/>
      </c:barChart>
      <c:catAx>
        <c:axId val="232350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2351008"/>
        <c:crosses val="autoZero"/>
        <c:auto val="1"/>
        <c:lblAlgn val="ctr"/>
        <c:lblOffset val="100"/>
        <c:tickLblSkip val="1"/>
        <c:tickMarkSkip val="1"/>
        <c:noMultiLvlLbl val="0"/>
      </c:catAx>
      <c:valAx>
        <c:axId val="232351008"/>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2350616"/>
        <c:crosses val="autoZero"/>
        <c:crossBetween val="between"/>
        <c:majorUnit val="0.2"/>
      </c:valAx>
      <c:catAx>
        <c:axId val="232351400"/>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32351792"/>
        <c:crosses val="autoZero"/>
        <c:auto val="1"/>
        <c:lblAlgn val="ctr"/>
        <c:lblOffset val="100"/>
        <c:noMultiLvlLbl val="0"/>
      </c:catAx>
      <c:valAx>
        <c:axId val="232351792"/>
        <c:scaling>
          <c:orientation val="minMax"/>
        </c:scaling>
        <c:delete val="1"/>
        <c:axPos val="r"/>
        <c:numFmt formatCode="0%" sourceLinked="1"/>
        <c:majorTickMark val="out"/>
        <c:minorTickMark val="none"/>
        <c:tickLblPos val="nextTo"/>
        <c:crossAx val="232351400"/>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300041994750657"/>
          <c:y val="0.43906885295252068"/>
          <c:w val="8.2999999999999963E-2"/>
          <c:h val="0.12186398743167853"/>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34862385321101E-2"/>
          <c:y val="1.0869584447153191E-2"/>
          <c:w val="0.73509174311926606"/>
          <c:h val="0.98188579505950491"/>
        </c:manualLayout>
      </c:layout>
      <c:barChart>
        <c:barDir val="col"/>
        <c:grouping val="clustered"/>
        <c:varyColors val="0"/>
        <c:ser>
          <c:idx val="0"/>
          <c:order val="0"/>
          <c:tx>
            <c:strRef>
              <c:f>'OP - M6'!$F$11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M6'!$F$12</c:f>
              <c:numCache>
                <c:formatCode>0%</c:formatCode>
                <c:ptCount val="1"/>
                <c:pt idx="0">
                  <c:v>0.25</c:v>
                </c:pt>
              </c:numCache>
            </c:numRef>
          </c:val>
        </c:ser>
        <c:ser>
          <c:idx val="1"/>
          <c:order val="1"/>
          <c:tx>
            <c:strRef>
              <c:f>'OP - M6'!$G$11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M6'!$G$12</c:f>
              <c:numCache>
                <c:formatCode>0%</c:formatCode>
                <c:ptCount val="1"/>
                <c:pt idx="0">
                  <c:v>0.8</c:v>
                </c:pt>
              </c:numCache>
            </c:numRef>
          </c:val>
        </c:ser>
        <c:ser>
          <c:idx val="2"/>
          <c:order val="2"/>
          <c:tx>
            <c:strRef>
              <c:f>'OP - M6'!$H$11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M6'!$H$12</c:f>
              <c:numCache>
                <c:formatCode>0%</c:formatCode>
                <c:ptCount val="1"/>
                <c:pt idx="0">
                  <c:v>0.35</c:v>
                </c:pt>
              </c:numCache>
            </c:numRef>
          </c:val>
        </c:ser>
        <c:ser>
          <c:idx val="3"/>
          <c:order val="3"/>
          <c:tx>
            <c:strRef>
              <c:f>'OP - M6'!$I$11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M6'!$I$12</c:f>
              <c:numCache>
                <c:formatCode>0%</c:formatCode>
                <c:ptCount val="1"/>
                <c:pt idx="0">
                  <c:v>0.3</c:v>
                </c:pt>
              </c:numCache>
            </c:numRef>
          </c:val>
        </c:ser>
        <c:ser>
          <c:idx val="4"/>
          <c:order val="4"/>
          <c:tx>
            <c:strRef>
              <c:f>'OP - M6'!$J$11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M6'!$J$12</c:f>
              <c:numCache>
                <c:formatCode>0%</c:formatCode>
                <c:ptCount val="1"/>
                <c:pt idx="0">
                  <c:v>0.42500000000000004</c:v>
                </c:pt>
              </c:numCache>
            </c:numRef>
          </c:val>
        </c:ser>
        <c:dLbls>
          <c:showLegendKey val="0"/>
          <c:showVal val="0"/>
          <c:showCatName val="0"/>
          <c:showSerName val="0"/>
          <c:showPercent val="0"/>
          <c:showBubbleSize val="0"/>
        </c:dLbls>
        <c:gapWidth val="50"/>
        <c:overlap val="-50"/>
        <c:axId val="232352576"/>
        <c:axId val="232352968"/>
      </c:barChart>
      <c:barChart>
        <c:barDir val="col"/>
        <c:grouping val="clustered"/>
        <c:varyColors val="0"/>
        <c:ser>
          <c:idx val="6"/>
          <c:order val="5"/>
          <c:tx>
            <c:strRef>
              <c:f>'OP - M6'!$K$11</c:f>
              <c:strCache>
                <c:ptCount val="1"/>
                <c:pt idx="0">
                  <c:v>80% Norm</c:v>
                </c:pt>
              </c:strCache>
            </c:strRef>
          </c:tx>
          <c:spPr>
            <a:noFill/>
            <a:ln w="38100">
              <a:solidFill>
                <a:srgbClr val="FF0000"/>
              </a:solidFill>
              <a:prstDash val="solid"/>
            </a:ln>
          </c:spPr>
          <c:invertIfNegative val="0"/>
          <c:val>
            <c:numRef>
              <c:f>'OP - M6'!$K$12</c:f>
              <c:numCache>
                <c:formatCode>0%</c:formatCode>
                <c:ptCount val="1"/>
                <c:pt idx="0">
                  <c:v>0.32000000000000006</c:v>
                </c:pt>
              </c:numCache>
            </c:numRef>
          </c:val>
        </c:ser>
        <c:ser>
          <c:idx val="5"/>
          <c:order val="6"/>
          <c:tx>
            <c:strRef>
              <c:f>'OP - M6'!$L$11</c:f>
              <c:strCache>
                <c:ptCount val="1"/>
                <c:pt idx="0">
                  <c:v>Profiel</c:v>
                </c:pt>
              </c:strCache>
            </c:strRef>
          </c:tx>
          <c:spPr>
            <a:noFill/>
            <a:ln w="38100">
              <a:solidFill>
                <a:srgbClr val="0000FF"/>
              </a:solidFill>
              <a:prstDash val="solid"/>
            </a:ln>
          </c:spPr>
          <c:invertIfNegative val="0"/>
          <c:val>
            <c:numRef>
              <c:f>'OP - M6'!$L$12</c:f>
              <c:numCache>
                <c:formatCode>0%</c:formatCode>
                <c:ptCount val="1"/>
                <c:pt idx="0">
                  <c:v>0.4</c:v>
                </c:pt>
              </c:numCache>
            </c:numRef>
          </c:val>
        </c:ser>
        <c:dLbls>
          <c:showLegendKey val="0"/>
          <c:showVal val="0"/>
          <c:showCatName val="0"/>
          <c:showSerName val="0"/>
          <c:showPercent val="0"/>
          <c:showBubbleSize val="0"/>
        </c:dLbls>
        <c:gapWidth val="0"/>
        <c:overlap val="100"/>
        <c:axId val="232353360"/>
        <c:axId val="232353752"/>
      </c:barChart>
      <c:catAx>
        <c:axId val="232352576"/>
        <c:scaling>
          <c:orientation val="minMax"/>
        </c:scaling>
        <c:delete val="1"/>
        <c:axPos val="b"/>
        <c:majorTickMark val="out"/>
        <c:minorTickMark val="none"/>
        <c:tickLblPos val="nextTo"/>
        <c:crossAx val="232352968"/>
        <c:crossesAt val="0"/>
        <c:auto val="1"/>
        <c:lblAlgn val="ctr"/>
        <c:lblOffset val="100"/>
        <c:noMultiLvlLbl val="0"/>
      </c:catAx>
      <c:valAx>
        <c:axId val="232352968"/>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2352576"/>
        <c:crosses val="autoZero"/>
        <c:crossBetween val="between"/>
        <c:majorUnit val="0.2"/>
        <c:minorUnit val="0.04"/>
      </c:valAx>
      <c:catAx>
        <c:axId val="232353360"/>
        <c:scaling>
          <c:orientation val="minMax"/>
        </c:scaling>
        <c:delete val="1"/>
        <c:axPos val="b"/>
        <c:majorTickMark val="out"/>
        <c:minorTickMark val="none"/>
        <c:tickLblPos val="nextTo"/>
        <c:crossAx val="232353752"/>
        <c:crosses val="autoZero"/>
        <c:auto val="1"/>
        <c:lblAlgn val="ctr"/>
        <c:lblOffset val="100"/>
        <c:noMultiLvlLbl val="0"/>
      </c:catAx>
      <c:valAx>
        <c:axId val="232353752"/>
        <c:scaling>
          <c:orientation val="minMax"/>
        </c:scaling>
        <c:delete val="1"/>
        <c:axPos val="r"/>
        <c:numFmt formatCode="0%" sourceLinked="1"/>
        <c:majorTickMark val="out"/>
        <c:minorTickMark val="none"/>
        <c:tickLblPos val="nextTo"/>
        <c:crossAx val="232353360"/>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6261467889908252"/>
          <c:y val="1.9927536231884056E-2"/>
          <c:w val="0.2259174311926605"/>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E6'!$J$59:$S$59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E6'!$J$60:$S$60</c:f>
              <c:numCache>
                <c:formatCode>0%</c:formatCode>
                <c:ptCount val="10"/>
                <c:pt idx="0">
                  <c:v>1</c:v>
                </c:pt>
                <c:pt idx="1">
                  <c:v>1</c:v>
                </c:pt>
                <c:pt idx="2">
                  <c:v>0.5</c:v>
                </c:pt>
                <c:pt idx="3">
                  <c:v>0.5</c:v>
                </c:pt>
                <c:pt idx="4">
                  <c:v>1</c:v>
                </c:pt>
                <c:pt idx="5">
                  <c:v>0.53333333333333333</c:v>
                </c:pt>
                <c:pt idx="6" formatCode="0.00%">
                  <c:v>0</c:v>
                </c:pt>
                <c:pt idx="7">
                  <c:v>1</c:v>
                </c:pt>
                <c:pt idx="8">
                  <c:v>0</c:v>
                </c:pt>
                <c:pt idx="9">
                  <c:v>0</c:v>
                </c:pt>
              </c:numCache>
            </c:numRef>
          </c:val>
        </c:ser>
        <c:dLbls>
          <c:showLegendKey val="0"/>
          <c:showVal val="0"/>
          <c:showCatName val="0"/>
          <c:showSerName val="0"/>
          <c:showPercent val="0"/>
          <c:showBubbleSize val="0"/>
        </c:dLbls>
        <c:gapWidth val="50"/>
        <c:axId val="232354536"/>
        <c:axId val="232354928"/>
      </c:barChart>
      <c:catAx>
        <c:axId val="23235453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32354928"/>
        <c:crosses val="autoZero"/>
        <c:auto val="1"/>
        <c:lblAlgn val="ctr"/>
        <c:lblOffset val="100"/>
        <c:tickLblSkip val="1"/>
        <c:tickMarkSkip val="1"/>
        <c:noMultiLvlLbl val="0"/>
      </c:catAx>
      <c:valAx>
        <c:axId val="232354928"/>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32354536"/>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E6'!$J$71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E6'!$K$63:$O$63</c:f>
              <c:strCache>
                <c:ptCount val="5"/>
                <c:pt idx="0">
                  <c:v>A</c:v>
                </c:pt>
                <c:pt idx="1">
                  <c:v>B</c:v>
                </c:pt>
                <c:pt idx="2">
                  <c:v>C</c:v>
                </c:pt>
                <c:pt idx="3">
                  <c:v>D</c:v>
                </c:pt>
                <c:pt idx="4">
                  <c:v>E</c:v>
                </c:pt>
              </c:strCache>
            </c:strRef>
          </c:cat>
          <c:val>
            <c:numRef>
              <c:f>'RIO - E6'!$K$71:$O$71</c:f>
              <c:numCache>
                <c:formatCode>0%</c:formatCode>
                <c:ptCount val="5"/>
                <c:pt idx="0">
                  <c:v>0</c:v>
                </c:pt>
                <c:pt idx="1">
                  <c:v>0</c:v>
                </c:pt>
                <c:pt idx="2">
                  <c:v>0.66666666666666663</c:v>
                </c:pt>
                <c:pt idx="3">
                  <c:v>0.33333333333333331</c:v>
                </c:pt>
                <c:pt idx="4">
                  <c:v>0</c:v>
                </c:pt>
              </c:numCache>
            </c:numRef>
          </c:val>
        </c:ser>
        <c:ser>
          <c:idx val="2"/>
          <c:order val="2"/>
          <c:tx>
            <c:strRef>
              <c:f>'RIO - E6'!$J$72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E6'!$K$63:$O$63</c:f>
              <c:strCache>
                <c:ptCount val="5"/>
                <c:pt idx="0">
                  <c:v>A</c:v>
                </c:pt>
                <c:pt idx="1">
                  <c:v>B</c:v>
                </c:pt>
                <c:pt idx="2">
                  <c:v>C</c:v>
                </c:pt>
                <c:pt idx="3">
                  <c:v>D</c:v>
                </c:pt>
                <c:pt idx="4">
                  <c:v>E</c:v>
                </c:pt>
              </c:strCache>
            </c:strRef>
          </c:cat>
          <c:val>
            <c:numRef>
              <c:f>'RIO - E6'!$K$72:$O$72</c:f>
              <c:numCache>
                <c:formatCode>0%</c:formatCode>
                <c:ptCount val="5"/>
                <c:pt idx="0">
                  <c:v>0</c:v>
                </c:pt>
                <c:pt idx="1">
                  <c:v>0</c:v>
                </c:pt>
                <c:pt idx="2">
                  <c:v>0.26666666666666666</c:v>
                </c:pt>
                <c:pt idx="3">
                  <c:v>0.26666666666666666</c:v>
                </c:pt>
                <c:pt idx="4">
                  <c:v>0</c:v>
                </c:pt>
              </c:numCache>
            </c:numRef>
          </c:val>
        </c:ser>
        <c:dLbls>
          <c:showLegendKey val="0"/>
          <c:showVal val="0"/>
          <c:showCatName val="0"/>
          <c:showSerName val="0"/>
          <c:showPercent val="0"/>
          <c:showBubbleSize val="0"/>
        </c:dLbls>
        <c:gapWidth val="40"/>
        <c:axId val="232355712"/>
        <c:axId val="232356104"/>
      </c:barChart>
      <c:barChart>
        <c:barDir val="col"/>
        <c:grouping val="clustered"/>
        <c:varyColors val="0"/>
        <c:ser>
          <c:idx val="0"/>
          <c:order val="0"/>
          <c:tx>
            <c:strRef>
              <c:f>'RIO - E6'!$J$64</c:f>
              <c:strCache>
                <c:ptCount val="1"/>
                <c:pt idx="0">
                  <c:v>Norm</c:v>
                </c:pt>
              </c:strCache>
            </c:strRef>
          </c:tx>
          <c:spPr>
            <a:noFill/>
            <a:ln w="25400">
              <a:solidFill>
                <a:srgbClr val="000000"/>
              </a:solidFill>
              <a:prstDash val="solid"/>
            </a:ln>
          </c:spPr>
          <c:invertIfNegative val="0"/>
          <c:cat>
            <c:strRef>
              <c:f>'RIO - E6'!$K$63:$O$63</c:f>
              <c:strCache>
                <c:ptCount val="5"/>
                <c:pt idx="0">
                  <c:v>A</c:v>
                </c:pt>
                <c:pt idx="1">
                  <c:v>B</c:v>
                </c:pt>
                <c:pt idx="2">
                  <c:v>C</c:v>
                </c:pt>
                <c:pt idx="3">
                  <c:v>D</c:v>
                </c:pt>
                <c:pt idx="4">
                  <c:v>E</c:v>
                </c:pt>
              </c:strCache>
            </c:strRef>
          </c:cat>
          <c:val>
            <c:numRef>
              <c:f>'RIO - E6'!$K$64:$O$64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32356496"/>
        <c:axId val="232356888"/>
      </c:barChart>
      <c:catAx>
        <c:axId val="2323557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2356104"/>
        <c:crosses val="autoZero"/>
        <c:auto val="1"/>
        <c:lblAlgn val="ctr"/>
        <c:lblOffset val="100"/>
        <c:tickLblSkip val="1"/>
        <c:tickMarkSkip val="1"/>
        <c:noMultiLvlLbl val="0"/>
      </c:catAx>
      <c:valAx>
        <c:axId val="232356104"/>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2355712"/>
        <c:crosses val="autoZero"/>
        <c:crossBetween val="between"/>
        <c:majorUnit val="0.2"/>
      </c:valAx>
      <c:catAx>
        <c:axId val="232356496"/>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32356888"/>
        <c:crosses val="autoZero"/>
        <c:auto val="1"/>
        <c:lblAlgn val="ctr"/>
        <c:lblOffset val="100"/>
        <c:noMultiLvlLbl val="0"/>
      </c:catAx>
      <c:valAx>
        <c:axId val="232356888"/>
        <c:scaling>
          <c:orientation val="minMax"/>
        </c:scaling>
        <c:delete val="1"/>
        <c:axPos val="r"/>
        <c:numFmt formatCode="0%" sourceLinked="1"/>
        <c:majorTickMark val="out"/>
        <c:minorTickMark val="none"/>
        <c:tickLblPos val="nextTo"/>
        <c:crossAx val="232356496"/>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34862385321101E-2"/>
          <c:y val="1.0869584447153191E-2"/>
          <c:w val="0.73509174311926606"/>
          <c:h val="0.98188579505950491"/>
        </c:manualLayout>
      </c:layout>
      <c:barChart>
        <c:barDir val="col"/>
        <c:grouping val="clustered"/>
        <c:varyColors val="0"/>
        <c:ser>
          <c:idx val="0"/>
          <c:order val="0"/>
          <c:tx>
            <c:strRef>
              <c:f>'OP - E6'!$F$11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E6'!$F$12</c:f>
              <c:numCache>
                <c:formatCode>0%</c:formatCode>
                <c:ptCount val="1"/>
                <c:pt idx="0">
                  <c:v>0.375</c:v>
                </c:pt>
              </c:numCache>
            </c:numRef>
          </c:val>
        </c:ser>
        <c:ser>
          <c:idx val="1"/>
          <c:order val="1"/>
          <c:tx>
            <c:strRef>
              <c:f>'OP - E6'!$G$11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E6'!$G$12</c:f>
              <c:numCache>
                <c:formatCode>0%</c:formatCode>
                <c:ptCount val="1"/>
                <c:pt idx="0">
                  <c:v>0.42500000000000004</c:v>
                </c:pt>
              </c:numCache>
            </c:numRef>
          </c:val>
        </c:ser>
        <c:ser>
          <c:idx val="2"/>
          <c:order val="2"/>
          <c:tx>
            <c:strRef>
              <c:f>'OP - E6'!$H$11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E6'!$H$12</c:f>
              <c:numCache>
                <c:formatCode>0%</c:formatCode>
                <c:ptCount val="1"/>
                <c:pt idx="0">
                  <c:v>0.4</c:v>
                </c:pt>
              </c:numCache>
            </c:numRef>
          </c:val>
        </c:ser>
        <c:ser>
          <c:idx val="3"/>
          <c:order val="3"/>
          <c:tx>
            <c:strRef>
              <c:f>'OP - E6'!$I$11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E6'!$I$12</c:f>
              <c:numCache>
                <c:formatCode>0%</c:formatCode>
                <c:ptCount val="1"/>
                <c:pt idx="0">
                  <c:v>0.15</c:v>
                </c:pt>
              </c:numCache>
            </c:numRef>
          </c:val>
        </c:ser>
        <c:ser>
          <c:idx val="4"/>
          <c:order val="4"/>
          <c:tx>
            <c:strRef>
              <c:f>'OP - E6'!$J$11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E6'!$J$12</c:f>
              <c:numCache>
                <c:formatCode>0%</c:formatCode>
                <c:ptCount val="1"/>
                <c:pt idx="0">
                  <c:v>0.47499999999999992</c:v>
                </c:pt>
              </c:numCache>
            </c:numRef>
          </c:val>
        </c:ser>
        <c:dLbls>
          <c:showLegendKey val="0"/>
          <c:showVal val="0"/>
          <c:showCatName val="0"/>
          <c:showSerName val="0"/>
          <c:showPercent val="0"/>
          <c:showBubbleSize val="0"/>
        </c:dLbls>
        <c:gapWidth val="50"/>
        <c:overlap val="-50"/>
        <c:axId val="234138464"/>
        <c:axId val="234138856"/>
      </c:barChart>
      <c:barChart>
        <c:barDir val="col"/>
        <c:grouping val="clustered"/>
        <c:varyColors val="0"/>
        <c:ser>
          <c:idx val="6"/>
          <c:order val="5"/>
          <c:tx>
            <c:strRef>
              <c:f>'OP - E6'!$K$11</c:f>
              <c:strCache>
                <c:ptCount val="1"/>
                <c:pt idx="0">
                  <c:v>80% Norm</c:v>
                </c:pt>
              </c:strCache>
            </c:strRef>
          </c:tx>
          <c:spPr>
            <a:noFill/>
            <a:ln w="38100">
              <a:solidFill>
                <a:srgbClr val="FF0000"/>
              </a:solidFill>
              <a:prstDash val="solid"/>
            </a:ln>
          </c:spPr>
          <c:invertIfNegative val="0"/>
          <c:val>
            <c:numRef>
              <c:f>'OP - E6'!$K$12</c:f>
              <c:numCache>
                <c:formatCode>0%</c:formatCode>
                <c:ptCount val="1"/>
                <c:pt idx="0">
                  <c:v>0.32000000000000006</c:v>
                </c:pt>
              </c:numCache>
            </c:numRef>
          </c:val>
        </c:ser>
        <c:ser>
          <c:idx val="5"/>
          <c:order val="6"/>
          <c:tx>
            <c:strRef>
              <c:f>'OP - E6'!$L$11</c:f>
              <c:strCache>
                <c:ptCount val="1"/>
                <c:pt idx="0">
                  <c:v>Profiel</c:v>
                </c:pt>
              </c:strCache>
            </c:strRef>
          </c:tx>
          <c:spPr>
            <a:noFill/>
            <a:ln w="38100">
              <a:solidFill>
                <a:srgbClr val="0000FF"/>
              </a:solidFill>
              <a:prstDash val="solid"/>
            </a:ln>
          </c:spPr>
          <c:invertIfNegative val="0"/>
          <c:val>
            <c:numRef>
              <c:f>'OP - E6'!$L$12</c:f>
              <c:numCache>
                <c:formatCode>0%</c:formatCode>
                <c:ptCount val="1"/>
                <c:pt idx="0">
                  <c:v>0.4</c:v>
                </c:pt>
              </c:numCache>
            </c:numRef>
          </c:val>
        </c:ser>
        <c:dLbls>
          <c:showLegendKey val="0"/>
          <c:showVal val="0"/>
          <c:showCatName val="0"/>
          <c:showSerName val="0"/>
          <c:showPercent val="0"/>
          <c:showBubbleSize val="0"/>
        </c:dLbls>
        <c:gapWidth val="0"/>
        <c:overlap val="100"/>
        <c:axId val="234139248"/>
        <c:axId val="234139640"/>
      </c:barChart>
      <c:catAx>
        <c:axId val="234138464"/>
        <c:scaling>
          <c:orientation val="minMax"/>
        </c:scaling>
        <c:delete val="1"/>
        <c:axPos val="b"/>
        <c:majorTickMark val="out"/>
        <c:minorTickMark val="none"/>
        <c:tickLblPos val="nextTo"/>
        <c:crossAx val="234138856"/>
        <c:crossesAt val="0"/>
        <c:auto val="1"/>
        <c:lblAlgn val="ctr"/>
        <c:lblOffset val="100"/>
        <c:noMultiLvlLbl val="0"/>
      </c:catAx>
      <c:valAx>
        <c:axId val="234138856"/>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4138464"/>
        <c:crosses val="autoZero"/>
        <c:crossBetween val="between"/>
        <c:majorUnit val="0.2"/>
        <c:minorUnit val="0.04"/>
      </c:valAx>
      <c:catAx>
        <c:axId val="234139248"/>
        <c:scaling>
          <c:orientation val="minMax"/>
        </c:scaling>
        <c:delete val="1"/>
        <c:axPos val="b"/>
        <c:majorTickMark val="out"/>
        <c:minorTickMark val="none"/>
        <c:tickLblPos val="nextTo"/>
        <c:crossAx val="234139640"/>
        <c:crosses val="autoZero"/>
        <c:auto val="1"/>
        <c:lblAlgn val="ctr"/>
        <c:lblOffset val="100"/>
        <c:noMultiLvlLbl val="0"/>
      </c:catAx>
      <c:valAx>
        <c:axId val="234139640"/>
        <c:scaling>
          <c:orientation val="minMax"/>
        </c:scaling>
        <c:delete val="1"/>
        <c:axPos val="r"/>
        <c:numFmt formatCode="0%" sourceLinked="1"/>
        <c:majorTickMark val="out"/>
        <c:minorTickMark val="none"/>
        <c:tickLblPos val="nextTo"/>
        <c:crossAx val="234139248"/>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6261467889908252"/>
          <c:y val="1.9927536231884056E-2"/>
          <c:w val="0.2259174311926605"/>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M7'!$J$59:$S$59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M7'!$J$60:$S$60</c:f>
              <c:numCache>
                <c:formatCode>0%</c:formatCode>
                <c:ptCount val="10"/>
                <c:pt idx="0">
                  <c:v>1</c:v>
                </c:pt>
                <c:pt idx="1">
                  <c:v>1</c:v>
                </c:pt>
                <c:pt idx="2">
                  <c:v>0</c:v>
                </c:pt>
                <c:pt idx="3">
                  <c:v>1</c:v>
                </c:pt>
                <c:pt idx="4">
                  <c:v>1</c:v>
                </c:pt>
                <c:pt idx="5">
                  <c:v>0.53333333333333333</c:v>
                </c:pt>
                <c:pt idx="6" formatCode="0.00%">
                  <c:v>0</c:v>
                </c:pt>
                <c:pt idx="7">
                  <c:v>1</c:v>
                </c:pt>
                <c:pt idx="8">
                  <c:v>0</c:v>
                </c:pt>
                <c:pt idx="9">
                  <c:v>0</c:v>
                </c:pt>
              </c:numCache>
            </c:numRef>
          </c:val>
        </c:ser>
        <c:dLbls>
          <c:showLegendKey val="0"/>
          <c:showVal val="0"/>
          <c:showCatName val="0"/>
          <c:showSerName val="0"/>
          <c:showPercent val="0"/>
          <c:showBubbleSize val="0"/>
        </c:dLbls>
        <c:gapWidth val="50"/>
        <c:axId val="234140424"/>
        <c:axId val="234140816"/>
      </c:barChart>
      <c:catAx>
        <c:axId val="234140424"/>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34140816"/>
        <c:crosses val="autoZero"/>
        <c:auto val="1"/>
        <c:lblAlgn val="ctr"/>
        <c:lblOffset val="100"/>
        <c:tickLblSkip val="1"/>
        <c:tickMarkSkip val="1"/>
        <c:noMultiLvlLbl val="0"/>
      </c:catAx>
      <c:valAx>
        <c:axId val="234140816"/>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34140424"/>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M4'!$J$71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M4'!$K$63:$O$63</c:f>
              <c:strCache>
                <c:ptCount val="5"/>
                <c:pt idx="0">
                  <c:v>A</c:v>
                </c:pt>
                <c:pt idx="1">
                  <c:v>B</c:v>
                </c:pt>
                <c:pt idx="2">
                  <c:v>C</c:v>
                </c:pt>
                <c:pt idx="3">
                  <c:v>D</c:v>
                </c:pt>
                <c:pt idx="4">
                  <c:v>E</c:v>
                </c:pt>
              </c:strCache>
            </c:strRef>
          </c:cat>
          <c:val>
            <c:numRef>
              <c:f>'RIO - M4'!$K$71:$O$71</c:f>
              <c:numCache>
                <c:formatCode>0%</c:formatCode>
                <c:ptCount val="5"/>
                <c:pt idx="0">
                  <c:v>0</c:v>
                </c:pt>
                <c:pt idx="1">
                  <c:v>0.33333333333333331</c:v>
                </c:pt>
                <c:pt idx="2">
                  <c:v>0.66666666666666663</c:v>
                </c:pt>
                <c:pt idx="3">
                  <c:v>0</c:v>
                </c:pt>
                <c:pt idx="4">
                  <c:v>0</c:v>
                </c:pt>
              </c:numCache>
            </c:numRef>
          </c:val>
        </c:ser>
        <c:ser>
          <c:idx val="2"/>
          <c:order val="2"/>
          <c:tx>
            <c:strRef>
              <c:f>'RIO - M4'!$J$72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M4'!$K$63:$O$63</c:f>
              <c:strCache>
                <c:ptCount val="5"/>
                <c:pt idx="0">
                  <c:v>A</c:v>
                </c:pt>
                <c:pt idx="1">
                  <c:v>B</c:v>
                </c:pt>
                <c:pt idx="2">
                  <c:v>C</c:v>
                </c:pt>
                <c:pt idx="3">
                  <c:v>D</c:v>
                </c:pt>
                <c:pt idx="4">
                  <c:v>E</c:v>
                </c:pt>
              </c:strCache>
            </c:strRef>
          </c:cat>
          <c:val>
            <c:numRef>
              <c:f>'RIO - M4'!$K$72:$O$72</c:f>
              <c:numCache>
                <c:formatCode>0%</c:formatCode>
                <c:ptCount val="5"/>
                <c:pt idx="0">
                  <c:v>0</c:v>
                </c:pt>
                <c:pt idx="1">
                  <c:v>0.19999999999999998</c:v>
                </c:pt>
                <c:pt idx="2">
                  <c:v>0.19999999999999998</c:v>
                </c:pt>
                <c:pt idx="3">
                  <c:v>0</c:v>
                </c:pt>
                <c:pt idx="4">
                  <c:v>0</c:v>
                </c:pt>
              </c:numCache>
            </c:numRef>
          </c:val>
        </c:ser>
        <c:dLbls>
          <c:showLegendKey val="0"/>
          <c:showVal val="0"/>
          <c:showCatName val="0"/>
          <c:showSerName val="0"/>
          <c:showPercent val="0"/>
          <c:showBubbleSize val="0"/>
        </c:dLbls>
        <c:gapWidth val="40"/>
        <c:axId val="218245496"/>
        <c:axId val="218262264"/>
      </c:barChart>
      <c:barChart>
        <c:barDir val="col"/>
        <c:grouping val="clustered"/>
        <c:varyColors val="0"/>
        <c:ser>
          <c:idx val="0"/>
          <c:order val="0"/>
          <c:tx>
            <c:strRef>
              <c:f>'RIO - M4'!$J$64</c:f>
              <c:strCache>
                <c:ptCount val="1"/>
                <c:pt idx="0">
                  <c:v>Norm</c:v>
                </c:pt>
              </c:strCache>
            </c:strRef>
          </c:tx>
          <c:spPr>
            <a:noFill/>
            <a:ln w="25400">
              <a:solidFill>
                <a:srgbClr val="000000"/>
              </a:solidFill>
              <a:prstDash val="solid"/>
            </a:ln>
          </c:spPr>
          <c:invertIfNegative val="0"/>
          <c:cat>
            <c:strRef>
              <c:f>'RIO - M4'!$K$63:$O$63</c:f>
              <c:strCache>
                <c:ptCount val="5"/>
                <c:pt idx="0">
                  <c:v>A</c:v>
                </c:pt>
                <c:pt idx="1">
                  <c:v>B</c:v>
                </c:pt>
                <c:pt idx="2">
                  <c:v>C</c:v>
                </c:pt>
                <c:pt idx="3">
                  <c:v>D</c:v>
                </c:pt>
                <c:pt idx="4">
                  <c:v>E</c:v>
                </c:pt>
              </c:strCache>
            </c:strRef>
          </c:cat>
          <c:val>
            <c:numRef>
              <c:f>'RIO - M4'!$K$64:$O$64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18262648"/>
        <c:axId val="218271224"/>
      </c:barChart>
      <c:catAx>
        <c:axId val="218245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18262264"/>
        <c:crosses val="autoZero"/>
        <c:auto val="1"/>
        <c:lblAlgn val="ctr"/>
        <c:lblOffset val="100"/>
        <c:tickLblSkip val="1"/>
        <c:tickMarkSkip val="1"/>
        <c:noMultiLvlLbl val="0"/>
      </c:catAx>
      <c:valAx>
        <c:axId val="218262264"/>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18245496"/>
        <c:crosses val="autoZero"/>
        <c:crossBetween val="between"/>
        <c:majorUnit val="0.2"/>
      </c:valAx>
      <c:catAx>
        <c:axId val="218262648"/>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18271224"/>
        <c:crosses val="autoZero"/>
        <c:auto val="1"/>
        <c:lblAlgn val="ctr"/>
        <c:lblOffset val="100"/>
        <c:noMultiLvlLbl val="0"/>
      </c:catAx>
      <c:valAx>
        <c:axId val="218271224"/>
        <c:scaling>
          <c:orientation val="minMax"/>
        </c:scaling>
        <c:delete val="1"/>
        <c:axPos val="r"/>
        <c:numFmt formatCode="0%" sourceLinked="1"/>
        <c:majorTickMark val="out"/>
        <c:minorTickMark val="none"/>
        <c:tickLblPos val="nextTo"/>
        <c:crossAx val="218262648"/>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wMode val="edge"/>
          <c:hMode val="edge"/>
          <c:x val="0.90800041994750658"/>
          <c:y val="0.4301082794758182"/>
          <c:w val="0.99100041994750654"/>
          <c:h val="0.5519722669074967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M7'!$J$71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M7'!$K$63:$O$63</c:f>
              <c:strCache>
                <c:ptCount val="5"/>
                <c:pt idx="0">
                  <c:v>A</c:v>
                </c:pt>
                <c:pt idx="1">
                  <c:v>B</c:v>
                </c:pt>
                <c:pt idx="2">
                  <c:v>C</c:v>
                </c:pt>
                <c:pt idx="3">
                  <c:v>D</c:v>
                </c:pt>
                <c:pt idx="4">
                  <c:v>E</c:v>
                </c:pt>
              </c:strCache>
            </c:strRef>
          </c:cat>
          <c:val>
            <c:numRef>
              <c:f>'RIO - M7'!$K$71:$O$71</c:f>
              <c:numCache>
                <c:formatCode>0%</c:formatCode>
                <c:ptCount val="5"/>
                <c:pt idx="0">
                  <c:v>0</c:v>
                </c:pt>
                <c:pt idx="1">
                  <c:v>0</c:v>
                </c:pt>
                <c:pt idx="2">
                  <c:v>1</c:v>
                </c:pt>
                <c:pt idx="3">
                  <c:v>0</c:v>
                </c:pt>
                <c:pt idx="4">
                  <c:v>0</c:v>
                </c:pt>
              </c:numCache>
            </c:numRef>
          </c:val>
        </c:ser>
        <c:ser>
          <c:idx val="2"/>
          <c:order val="2"/>
          <c:tx>
            <c:strRef>
              <c:f>'RIO - M7'!$J$72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M7'!$K$63:$O$63</c:f>
              <c:strCache>
                <c:ptCount val="5"/>
                <c:pt idx="0">
                  <c:v>A</c:v>
                </c:pt>
                <c:pt idx="1">
                  <c:v>B</c:v>
                </c:pt>
                <c:pt idx="2">
                  <c:v>C</c:v>
                </c:pt>
                <c:pt idx="3">
                  <c:v>D</c:v>
                </c:pt>
                <c:pt idx="4">
                  <c:v>E</c:v>
                </c:pt>
              </c:strCache>
            </c:strRef>
          </c:cat>
          <c:val>
            <c:numRef>
              <c:f>'RIO - M7'!$K$72:$O$72</c:f>
              <c:numCache>
                <c:formatCode>0%</c:formatCode>
                <c:ptCount val="5"/>
                <c:pt idx="0">
                  <c:v>0</c:v>
                </c:pt>
                <c:pt idx="1">
                  <c:v>0</c:v>
                </c:pt>
                <c:pt idx="2">
                  <c:v>0.53333333333333333</c:v>
                </c:pt>
                <c:pt idx="3">
                  <c:v>0</c:v>
                </c:pt>
                <c:pt idx="4">
                  <c:v>0</c:v>
                </c:pt>
              </c:numCache>
            </c:numRef>
          </c:val>
        </c:ser>
        <c:dLbls>
          <c:showLegendKey val="0"/>
          <c:showVal val="0"/>
          <c:showCatName val="0"/>
          <c:showSerName val="0"/>
          <c:showPercent val="0"/>
          <c:showBubbleSize val="0"/>
        </c:dLbls>
        <c:gapWidth val="40"/>
        <c:axId val="234141600"/>
        <c:axId val="234141992"/>
      </c:barChart>
      <c:barChart>
        <c:barDir val="col"/>
        <c:grouping val="clustered"/>
        <c:varyColors val="0"/>
        <c:ser>
          <c:idx val="0"/>
          <c:order val="0"/>
          <c:tx>
            <c:strRef>
              <c:f>'RIO - M7'!$J$64</c:f>
              <c:strCache>
                <c:ptCount val="1"/>
                <c:pt idx="0">
                  <c:v>Norm</c:v>
                </c:pt>
              </c:strCache>
            </c:strRef>
          </c:tx>
          <c:spPr>
            <a:noFill/>
            <a:ln w="25400">
              <a:solidFill>
                <a:srgbClr val="000000"/>
              </a:solidFill>
              <a:prstDash val="solid"/>
            </a:ln>
          </c:spPr>
          <c:invertIfNegative val="0"/>
          <c:cat>
            <c:strRef>
              <c:f>'RIO - M7'!$K$63:$O$63</c:f>
              <c:strCache>
                <c:ptCount val="5"/>
                <c:pt idx="0">
                  <c:v>A</c:v>
                </c:pt>
                <c:pt idx="1">
                  <c:v>B</c:v>
                </c:pt>
                <c:pt idx="2">
                  <c:v>C</c:v>
                </c:pt>
                <c:pt idx="3">
                  <c:v>D</c:v>
                </c:pt>
                <c:pt idx="4">
                  <c:v>E</c:v>
                </c:pt>
              </c:strCache>
            </c:strRef>
          </c:cat>
          <c:val>
            <c:numRef>
              <c:f>'RIO - M7'!$K$64:$O$64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34142384"/>
        <c:axId val="234142776"/>
      </c:barChart>
      <c:catAx>
        <c:axId val="234141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4141992"/>
        <c:crosses val="autoZero"/>
        <c:auto val="1"/>
        <c:lblAlgn val="ctr"/>
        <c:lblOffset val="100"/>
        <c:tickLblSkip val="1"/>
        <c:tickMarkSkip val="1"/>
        <c:noMultiLvlLbl val="0"/>
      </c:catAx>
      <c:valAx>
        <c:axId val="234141992"/>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4141600"/>
        <c:crosses val="autoZero"/>
        <c:crossBetween val="between"/>
        <c:majorUnit val="0.2"/>
      </c:valAx>
      <c:catAx>
        <c:axId val="234142384"/>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34142776"/>
        <c:crosses val="autoZero"/>
        <c:auto val="1"/>
        <c:lblAlgn val="ctr"/>
        <c:lblOffset val="100"/>
        <c:noMultiLvlLbl val="0"/>
      </c:catAx>
      <c:valAx>
        <c:axId val="234142776"/>
        <c:scaling>
          <c:orientation val="minMax"/>
        </c:scaling>
        <c:delete val="1"/>
        <c:axPos val="r"/>
        <c:numFmt formatCode="0%" sourceLinked="1"/>
        <c:majorTickMark val="out"/>
        <c:minorTickMark val="none"/>
        <c:tickLblPos val="nextTo"/>
        <c:crossAx val="234142384"/>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100514842593609E-2"/>
          <c:y val="1.0869584447153191E-2"/>
          <c:w val="0.70854314820142472"/>
          <c:h val="0.98188579505950491"/>
        </c:manualLayout>
      </c:layout>
      <c:barChart>
        <c:barDir val="col"/>
        <c:grouping val="clustered"/>
        <c:varyColors val="0"/>
        <c:ser>
          <c:idx val="0"/>
          <c:order val="0"/>
          <c:tx>
            <c:strRef>
              <c:f>'OP - M7'!$F$11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M7'!$F$12</c:f>
              <c:numCache>
                <c:formatCode>0%</c:formatCode>
                <c:ptCount val="1"/>
                <c:pt idx="0">
                  <c:v>0.6</c:v>
                </c:pt>
              </c:numCache>
            </c:numRef>
          </c:val>
        </c:ser>
        <c:ser>
          <c:idx val="1"/>
          <c:order val="1"/>
          <c:tx>
            <c:strRef>
              <c:f>'OP - M7'!$G$11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M7'!$G$12</c:f>
              <c:numCache>
                <c:formatCode>0%</c:formatCode>
                <c:ptCount val="1"/>
                <c:pt idx="0">
                  <c:v>0.75</c:v>
                </c:pt>
              </c:numCache>
            </c:numRef>
          </c:val>
        </c:ser>
        <c:ser>
          <c:idx val="2"/>
          <c:order val="2"/>
          <c:tx>
            <c:strRef>
              <c:f>'OP - M7'!$H$11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M7'!$H$12</c:f>
              <c:numCache>
                <c:formatCode>0%</c:formatCode>
                <c:ptCount val="1"/>
                <c:pt idx="0">
                  <c:v>0.47499999999999998</c:v>
                </c:pt>
              </c:numCache>
            </c:numRef>
          </c:val>
        </c:ser>
        <c:ser>
          <c:idx val="3"/>
          <c:order val="3"/>
          <c:tx>
            <c:strRef>
              <c:f>'OP - M7'!$I$11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M7'!$I$12</c:f>
              <c:numCache>
                <c:formatCode>0%</c:formatCode>
                <c:ptCount val="1"/>
                <c:pt idx="0">
                  <c:v>0.67500000000000016</c:v>
                </c:pt>
              </c:numCache>
            </c:numRef>
          </c:val>
        </c:ser>
        <c:ser>
          <c:idx val="4"/>
          <c:order val="4"/>
          <c:tx>
            <c:strRef>
              <c:f>'OP - M7'!$J$11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M7'!$J$12</c:f>
              <c:numCache>
                <c:formatCode>0%</c:formatCode>
                <c:ptCount val="1"/>
                <c:pt idx="0">
                  <c:v>0.8</c:v>
                </c:pt>
              </c:numCache>
            </c:numRef>
          </c:val>
        </c:ser>
        <c:dLbls>
          <c:showLegendKey val="0"/>
          <c:showVal val="0"/>
          <c:showCatName val="0"/>
          <c:showSerName val="0"/>
          <c:showPercent val="0"/>
          <c:showBubbleSize val="0"/>
        </c:dLbls>
        <c:gapWidth val="50"/>
        <c:overlap val="-50"/>
        <c:axId val="234143560"/>
        <c:axId val="234143952"/>
      </c:barChart>
      <c:barChart>
        <c:barDir val="col"/>
        <c:grouping val="clustered"/>
        <c:varyColors val="0"/>
        <c:ser>
          <c:idx val="6"/>
          <c:order val="5"/>
          <c:tx>
            <c:strRef>
              <c:f>'OP - M7'!$K$11</c:f>
              <c:strCache>
                <c:ptCount val="1"/>
                <c:pt idx="0">
                  <c:v>80% Norm</c:v>
                </c:pt>
              </c:strCache>
            </c:strRef>
          </c:tx>
          <c:spPr>
            <a:noFill/>
            <a:ln w="38100">
              <a:solidFill>
                <a:srgbClr val="FF0000"/>
              </a:solidFill>
              <a:prstDash val="solid"/>
            </a:ln>
          </c:spPr>
          <c:invertIfNegative val="0"/>
          <c:val>
            <c:numRef>
              <c:f>'OP - M7'!$K$12</c:f>
              <c:numCache>
                <c:formatCode>0%</c:formatCode>
                <c:ptCount val="1"/>
                <c:pt idx="0">
                  <c:v>0.48</c:v>
                </c:pt>
              </c:numCache>
            </c:numRef>
          </c:val>
        </c:ser>
        <c:ser>
          <c:idx val="5"/>
          <c:order val="6"/>
          <c:tx>
            <c:strRef>
              <c:f>'OP - M7'!$L$11</c:f>
              <c:strCache>
                <c:ptCount val="1"/>
                <c:pt idx="0">
                  <c:v>Profiel</c:v>
                </c:pt>
              </c:strCache>
            </c:strRef>
          </c:tx>
          <c:spPr>
            <a:noFill/>
            <a:ln w="38100">
              <a:solidFill>
                <a:srgbClr val="0000FF"/>
              </a:solidFill>
              <a:prstDash val="solid"/>
            </a:ln>
          </c:spPr>
          <c:invertIfNegative val="0"/>
          <c:val>
            <c:numRef>
              <c:f>'OP - M7'!$L$12</c:f>
              <c:numCache>
                <c:formatCode>0%</c:formatCode>
                <c:ptCount val="1"/>
                <c:pt idx="0">
                  <c:v>0.6</c:v>
                </c:pt>
              </c:numCache>
            </c:numRef>
          </c:val>
        </c:ser>
        <c:dLbls>
          <c:showLegendKey val="0"/>
          <c:showVal val="0"/>
          <c:showCatName val="0"/>
          <c:showSerName val="0"/>
          <c:showPercent val="0"/>
          <c:showBubbleSize val="0"/>
        </c:dLbls>
        <c:gapWidth val="0"/>
        <c:overlap val="100"/>
        <c:axId val="234144344"/>
        <c:axId val="234144736"/>
      </c:barChart>
      <c:catAx>
        <c:axId val="234143560"/>
        <c:scaling>
          <c:orientation val="minMax"/>
        </c:scaling>
        <c:delete val="1"/>
        <c:axPos val="b"/>
        <c:majorTickMark val="out"/>
        <c:minorTickMark val="none"/>
        <c:tickLblPos val="nextTo"/>
        <c:crossAx val="234143952"/>
        <c:crossesAt val="0"/>
        <c:auto val="1"/>
        <c:lblAlgn val="ctr"/>
        <c:lblOffset val="100"/>
        <c:noMultiLvlLbl val="0"/>
      </c:catAx>
      <c:valAx>
        <c:axId val="23414395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4143560"/>
        <c:crosses val="autoZero"/>
        <c:crossBetween val="between"/>
        <c:majorUnit val="0.2"/>
        <c:minorUnit val="0.04"/>
      </c:valAx>
      <c:catAx>
        <c:axId val="234144344"/>
        <c:scaling>
          <c:orientation val="minMax"/>
        </c:scaling>
        <c:delete val="1"/>
        <c:axPos val="b"/>
        <c:majorTickMark val="out"/>
        <c:minorTickMark val="none"/>
        <c:tickLblPos val="nextTo"/>
        <c:crossAx val="234144736"/>
        <c:crosses val="autoZero"/>
        <c:auto val="1"/>
        <c:lblAlgn val="ctr"/>
        <c:lblOffset val="100"/>
        <c:noMultiLvlLbl val="0"/>
      </c:catAx>
      <c:valAx>
        <c:axId val="234144736"/>
        <c:scaling>
          <c:orientation val="minMax"/>
        </c:scaling>
        <c:delete val="1"/>
        <c:axPos val="r"/>
        <c:numFmt formatCode="0%" sourceLinked="1"/>
        <c:majorTickMark val="out"/>
        <c:minorTickMark val="none"/>
        <c:tickLblPos val="nextTo"/>
        <c:crossAx val="234144344"/>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3995014442290197"/>
          <c:y val="1.9927536231884056E-2"/>
          <c:w val="0.24748756907899072"/>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E7'!$J$59:$S$59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E7'!$J$60:$S$60</c:f>
              <c:numCache>
                <c:formatCode>0%</c:formatCode>
                <c:ptCount val="10"/>
                <c:pt idx="0">
                  <c:v>1</c:v>
                </c:pt>
                <c:pt idx="1">
                  <c:v>1</c:v>
                </c:pt>
                <c:pt idx="2">
                  <c:v>1</c:v>
                </c:pt>
                <c:pt idx="3">
                  <c:v>1</c:v>
                </c:pt>
                <c:pt idx="4">
                  <c:v>0</c:v>
                </c:pt>
                <c:pt idx="5">
                  <c:v>0.26666666666666666</c:v>
                </c:pt>
                <c:pt idx="6" formatCode="0.00%">
                  <c:v>0</c:v>
                </c:pt>
                <c:pt idx="7">
                  <c:v>1</c:v>
                </c:pt>
                <c:pt idx="8">
                  <c:v>0</c:v>
                </c:pt>
                <c:pt idx="9">
                  <c:v>0</c:v>
                </c:pt>
              </c:numCache>
            </c:numRef>
          </c:val>
        </c:ser>
        <c:dLbls>
          <c:showLegendKey val="0"/>
          <c:showVal val="0"/>
          <c:showCatName val="0"/>
          <c:showSerName val="0"/>
          <c:showPercent val="0"/>
          <c:showBubbleSize val="0"/>
        </c:dLbls>
        <c:gapWidth val="50"/>
        <c:axId val="234145520"/>
        <c:axId val="235056696"/>
      </c:barChart>
      <c:catAx>
        <c:axId val="23414552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35056696"/>
        <c:crosses val="autoZero"/>
        <c:auto val="1"/>
        <c:lblAlgn val="ctr"/>
        <c:lblOffset val="100"/>
        <c:tickLblSkip val="1"/>
        <c:tickMarkSkip val="1"/>
        <c:noMultiLvlLbl val="0"/>
      </c:catAx>
      <c:valAx>
        <c:axId val="235056696"/>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34145520"/>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E7'!$J$71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E7'!$K$63:$O$63</c:f>
              <c:strCache>
                <c:ptCount val="5"/>
                <c:pt idx="0">
                  <c:v>A</c:v>
                </c:pt>
                <c:pt idx="1">
                  <c:v>B</c:v>
                </c:pt>
                <c:pt idx="2">
                  <c:v>C</c:v>
                </c:pt>
                <c:pt idx="3">
                  <c:v>D</c:v>
                </c:pt>
                <c:pt idx="4">
                  <c:v>E</c:v>
                </c:pt>
              </c:strCache>
            </c:strRef>
          </c:cat>
          <c:val>
            <c:numRef>
              <c:f>'RIO - E7'!$K$71:$O$71</c:f>
              <c:numCache>
                <c:formatCode>0%</c:formatCode>
                <c:ptCount val="5"/>
                <c:pt idx="0">
                  <c:v>0</c:v>
                </c:pt>
                <c:pt idx="1">
                  <c:v>0</c:v>
                </c:pt>
                <c:pt idx="2">
                  <c:v>0.66666666666666663</c:v>
                </c:pt>
                <c:pt idx="3">
                  <c:v>0.33333333333333331</c:v>
                </c:pt>
                <c:pt idx="4">
                  <c:v>0</c:v>
                </c:pt>
              </c:numCache>
            </c:numRef>
          </c:val>
        </c:ser>
        <c:ser>
          <c:idx val="2"/>
          <c:order val="2"/>
          <c:tx>
            <c:strRef>
              <c:f>'RIO - E7'!$J$72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E7'!$K$63:$O$63</c:f>
              <c:strCache>
                <c:ptCount val="5"/>
                <c:pt idx="0">
                  <c:v>A</c:v>
                </c:pt>
                <c:pt idx="1">
                  <c:v>B</c:v>
                </c:pt>
                <c:pt idx="2">
                  <c:v>C</c:v>
                </c:pt>
                <c:pt idx="3">
                  <c:v>D</c:v>
                </c:pt>
                <c:pt idx="4">
                  <c:v>E</c:v>
                </c:pt>
              </c:strCache>
            </c:strRef>
          </c:cat>
          <c:val>
            <c:numRef>
              <c:f>'RIO - E7'!$K$72:$O$72</c:f>
              <c:numCache>
                <c:formatCode>0%</c:formatCode>
                <c:ptCount val="5"/>
                <c:pt idx="0">
                  <c:v>0</c:v>
                </c:pt>
                <c:pt idx="1">
                  <c:v>0</c:v>
                </c:pt>
                <c:pt idx="2">
                  <c:v>0.26666666666666666</c:v>
                </c:pt>
                <c:pt idx="3">
                  <c:v>0</c:v>
                </c:pt>
                <c:pt idx="4">
                  <c:v>0</c:v>
                </c:pt>
              </c:numCache>
            </c:numRef>
          </c:val>
        </c:ser>
        <c:dLbls>
          <c:showLegendKey val="0"/>
          <c:showVal val="0"/>
          <c:showCatName val="0"/>
          <c:showSerName val="0"/>
          <c:showPercent val="0"/>
          <c:showBubbleSize val="0"/>
        </c:dLbls>
        <c:gapWidth val="40"/>
        <c:axId val="235057480"/>
        <c:axId val="235057872"/>
      </c:barChart>
      <c:barChart>
        <c:barDir val="col"/>
        <c:grouping val="clustered"/>
        <c:varyColors val="0"/>
        <c:ser>
          <c:idx val="0"/>
          <c:order val="0"/>
          <c:tx>
            <c:strRef>
              <c:f>'RIO - E7'!$J$64</c:f>
              <c:strCache>
                <c:ptCount val="1"/>
                <c:pt idx="0">
                  <c:v>Norm</c:v>
                </c:pt>
              </c:strCache>
            </c:strRef>
          </c:tx>
          <c:spPr>
            <a:noFill/>
            <a:ln w="25400">
              <a:solidFill>
                <a:srgbClr val="000000"/>
              </a:solidFill>
              <a:prstDash val="solid"/>
            </a:ln>
          </c:spPr>
          <c:invertIfNegative val="0"/>
          <c:cat>
            <c:strRef>
              <c:f>'RIO - E7'!$K$63:$O$63</c:f>
              <c:strCache>
                <c:ptCount val="5"/>
                <c:pt idx="0">
                  <c:v>A</c:v>
                </c:pt>
                <c:pt idx="1">
                  <c:v>B</c:v>
                </c:pt>
                <c:pt idx="2">
                  <c:v>C</c:v>
                </c:pt>
                <c:pt idx="3">
                  <c:v>D</c:v>
                </c:pt>
                <c:pt idx="4">
                  <c:v>E</c:v>
                </c:pt>
              </c:strCache>
            </c:strRef>
          </c:cat>
          <c:val>
            <c:numRef>
              <c:f>'RIO - E7'!$K$64:$O$64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35058264"/>
        <c:axId val="235058656"/>
      </c:barChart>
      <c:catAx>
        <c:axId val="235057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5057872"/>
        <c:crosses val="autoZero"/>
        <c:auto val="1"/>
        <c:lblAlgn val="ctr"/>
        <c:lblOffset val="100"/>
        <c:tickLblSkip val="1"/>
        <c:tickMarkSkip val="1"/>
        <c:noMultiLvlLbl val="0"/>
      </c:catAx>
      <c:valAx>
        <c:axId val="235057872"/>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5057480"/>
        <c:crosses val="autoZero"/>
        <c:crossBetween val="between"/>
        <c:majorUnit val="0.2"/>
      </c:valAx>
      <c:catAx>
        <c:axId val="235058264"/>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35058656"/>
        <c:crosses val="autoZero"/>
        <c:auto val="1"/>
        <c:lblAlgn val="ctr"/>
        <c:lblOffset val="100"/>
        <c:noMultiLvlLbl val="0"/>
      </c:catAx>
      <c:valAx>
        <c:axId val="235058656"/>
        <c:scaling>
          <c:orientation val="minMax"/>
        </c:scaling>
        <c:delete val="1"/>
        <c:axPos val="r"/>
        <c:numFmt formatCode="0%" sourceLinked="1"/>
        <c:majorTickMark val="out"/>
        <c:minorTickMark val="none"/>
        <c:tickLblPos val="nextTo"/>
        <c:crossAx val="235058264"/>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100514842593609E-2"/>
          <c:y val="1.0869584447153191E-2"/>
          <c:w val="0.70854314820142472"/>
          <c:h val="0.98188579505950491"/>
        </c:manualLayout>
      </c:layout>
      <c:barChart>
        <c:barDir val="col"/>
        <c:grouping val="clustered"/>
        <c:varyColors val="0"/>
        <c:ser>
          <c:idx val="0"/>
          <c:order val="0"/>
          <c:tx>
            <c:strRef>
              <c:f>'OP - E7'!$F$11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E7'!$F$12</c:f>
              <c:numCache>
                <c:formatCode>0%</c:formatCode>
                <c:ptCount val="1"/>
                <c:pt idx="0">
                  <c:v>0</c:v>
                </c:pt>
              </c:numCache>
            </c:numRef>
          </c:val>
        </c:ser>
        <c:ser>
          <c:idx val="1"/>
          <c:order val="1"/>
          <c:tx>
            <c:strRef>
              <c:f>'OP - E7'!$G$11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E7'!$G$12</c:f>
              <c:numCache>
                <c:formatCode>0%</c:formatCode>
                <c:ptCount val="1"/>
                <c:pt idx="0">
                  <c:v>0</c:v>
                </c:pt>
              </c:numCache>
            </c:numRef>
          </c:val>
        </c:ser>
        <c:ser>
          <c:idx val="2"/>
          <c:order val="2"/>
          <c:tx>
            <c:strRef>
              <c:f>'OP - E7'!$H$11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E7'!$H$12</c:f>
              <c:numCache>
                <c:formatCode>0%</c:formatCode>
                <c:ptCount val="1"/>
                <c:pt idx="0">
                  <c:v>0</c:v>
                </c:pt>
              </c:numCache>
            </c:numRef>
          </c:val>
        </c:ser>
        <c:ser>
          <c:idx val="3"/>
          <c:order val="3"/>
          <c:tx>
            <c:strRef>
              <c:f>'OP - E7'!$I$11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E7'!$I$12</c:f>
              <c:numCache>
                <c:formatCode>0%</c:formatCode>
                <c:ptCount val="1"/>
                <c:pt idx="0">
                  <c:v>0</c:v>
                </c:pt>
              </c:numCache>
            </c:numRef>
          </c:val>
        </c:ser>
        <c:ser>
          <c:idx val="4"/>
          <c:order val="4"/>
          <c:tx>
            <c:strRef>
              <c:f>'OP - E7'!$J$11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E7'!$J$12</c:f>
              <c:numCache>
                <c:formatCode>0%</c:formatCode>
                <c:ptCount val="1"/>
                <c:pt idx="0">
                  <c:v>0</c:v>
                </c:pt>
              </c:numCache>
            </c:numRef>
          </c:val>
        </c:ser>
        <c:dLbls>
          <c:showLegendKey val="0"/>
          <c:showVal val="0"/>
          <c:showCatName val="0"/>
          <c:showSerName val="0"/>
          <c:showPercent val="0"/>
          <c:showBubbleSize val="0"/>
        </c:dLbls>
        <c:gapWidth val="50"/>
        <c:overlap val="-50"/>
        <c:axId val="235059440"/>
        <c:axId val="235059832"/>
      </c:barChart>
      <c:barChart>
        <c:barDir val="col"/>
        <c:grouping val="clustered"/>
        <c:varyColors val="0"/>
        <c:ser>
          <c:idx val="6"/>
          <c:order val="5"/>
          <c:tx>
            <c:strRef>
              <c:f>'OP - E7'!$K$11</c:f>
              <c:strCache>
                <c:ptCount val="1"/>
                <c:pt idx="0">
                  <c:v>80% Norm</c:v>
                </c:pt>
              </c:strCache>
            </c:strRef>
          </c:tx>
          <c:spPr>
            <a:noFill/>
            <a:ln w="38100">
              <a:solidFill>
                <a:srgbClr val="FF0000"/>
              </a:solidFill>
              <a:prstDash val="solid"/>
            </a:ln>
          </c:spPr>
          <c:invertIfNegative val="0"/>
          <c:val>
            <c:numRef>
              <c:f>'OP - E7'!$K$12</c:f>
              <c:numCache>
                <c:formatCode>0%</c:formatCode>
                <c:ptCount val="1"/>
                <c:pt idx="0">
                  <c:v>0.32000000000000006</c:v>
                </c:pt>
              </c:numCache>
            </c:numRef>
          </c:val>
        </c:ser>
        <c:ser>
          <c:idx val="5"/>
          <c:order val="6"/>
          <c:tx>
            <c:strRef>
              <c:f>'OP - E7'!$L$11</c:f>
              <c:strCache>
                <c:ptCount val="1"/>
                <c:pt idx="0">
                  <c:v>Profiel</c:v>
                </c:pt>
              </c:strCache>
            </c:strRef>
          </c:tx>
          <c:spPr>
            <a:noFill/>
            <a:ln w="38100">
              <a:solidFill>
                <a:srgbClr val="0000FF"/>
              </a:solidFill>
              <a:prstDash val="solid"/>
            </a:ln>
          </c:spPr>
          <c:invertIfNegative val="0"/>
          <c:val>
            <c:numRef>
              <c:f>'OP - E7'!$L$12</c:f>
              <c:numCache>
                <c:formatCode>0%</c:formatCode>
                <c:ptCount val="1"/>
                <c:pt idx="0">
                  <c:v>0.4</c:v>
                </c:pt>
              </c:numCache>
            </c:numRef>
          </c:val>
        </c:ser>
        <c:dLbls>
          <c:showLegendKey val="0"/>
          <c:showVal val="0"/>
          <c:showCatName val="0"/>
          <c:showSerName val="0"/>
          <c:showPercent val="0"/>
          <c:showBubbleSize val="0"/>
        </c:dLbls>
        <c:gapWidth val="0"/>
        <c:overlap val="100"/>
        <c:axId val="235060224"/>
        <c:axId val="235060616"/>
      </c:barChart>
      <c:catAx>
        <c:axId val="235059440"/>
        <c:scaling>
          <c:orientation val="minMax"/>
        </c:scaling>
        <c:delete val="1"/>
        <c:axPos val="b"/>
        <c:majorTickMark val="out"/>
        <c:minorTickMark val="none"/>
        <c:tickLblPos val="nextTo"/>
        <c:crossAx val="235059832"/>
        <c:crossesAt val="0"/>
        <c:auto val="1"/>
        <c:lblAlgn val="ctr"/>
        <c:lblOffset val="100"/>
        <c:noMultiLvlLbl val="0"/>
      </c:catAx>
      <c:valAx>
        <c:axId val="23505983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5059440"/>
        <c:crosses val="autoZero"/>
        <c:crossBetween val="between"/>
        <c:majorUnit val="0.2"/>
        <c:minorUnit val="0.04"/>
      </c:valAx>
      <c:catAx>
        <c:axId val="235060224"/>
        <c:scaling>
          <c:orientation val="minMax"/>
        </c:scaling>
        <c:delete val="1"/>
        <c:axPos val="b"/>
        <c:majorTickMark val="out"/>
        <c:minorTickMark val="none"/>
        <c:tickLblPos val="nextTo"/>
        <c:crossAx val="235060616"/>
        <c:crosses val="autoZero"/>
        <c:auto val="1"/>
        <c:lblAlgn val="ctr"/>
        <c:lblOffset val="100"/>
        <c:noMultiLvlLbl val="0"/>
      </c:catAx>
      <c:valAx>
        <c:axId val="235060616"/>
        <c:scaling>
          <c:orientation val="minMax"/>
        </c:scaling>
        <c:delete val="1"/>
        <c:axPos val="r"/>
        <c:numFmt formatCode="0%" sourceLinked="1"/>
        <c:majorTickMark val="out"/>
        <c:minorTickMark val="none"/>
        <c:tickLblPos val="nextTo"/>
        <c:crossAx val="235060224"/>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3995014442290197"/>
          <c:y val="1.9927536231884056E-2"/>
          <c:w val="0.24748756907899072"/>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01172383698E-2"/>
          <c:y val="9.8214285714285712E-2"/>
          <c:w val="0.89595426297996239"/>
          <c:h val="0.66428571428571426"/>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M8'!$J$59:$S$59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M8'!$J$60:$S$60</c:f>
              <c:numCache>
                <c:formatCode>0%</c:formatCode>
                <c:ptCount val="10"/>
                <c:pt idx="0">
                  <c:v>1</c:v>
                </c:pt>
                <c:pt idx="1">
                  <c:v>0</c:v>
                </c:pt>
                <c:pt idx="2">
                  <c:v>1</c:v>
                </c:pt>
                <c:pt idx="3">
                  <c:v>1</c:v>
                </c:pt>
                <c:pt idx="4">
                  <c:v>1</c:v>
                </c:pt>
                <c:pt idx="5">
                  <c:v>0.26666666666666666</c:v>
                </c:pt>
                <c:pt idx="6" formatCode="0.00%">
                  <c:v>0</c:v>
                </c:pt>
                <c:pt idx="7">
                  <c:v>1</c:v>
                </c:pt>
                <c:pt idx="8">
                  <c:v>0</c:v>
                </c:pt>
                <c:pt idx="9">
                  <c:v>0</c:v>
                </c:pt>
              </c:numCache>
            </c:numRef>
          </c:val>
        </c:ser>
        <c:dLbls>
          <c:showLegendKey val="0"/>
          <c:showVal val="0"/>
          <c:showCatName val="0"/>
          <c:showSerName val="0"/>
          <c:showPercent val="0"/>
          <c:showBubbleSize val="0"/>
        </c:dLbls>
        <c:gapWidth val="50"/>
        <c:axId val="235061400"/>
        <c:axId val="235061792"/>
      </c:barChart>
      <c:catAx>
        <c:axId val="23506140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387307511416566"/>
              <c:y val="1.2500000000000001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35061792"/>
        <c:crosses val="autoZero"/>
        <c:auto val="1"/>
        <c:lblAlgn val="ctr"/>
        <c:lblOffset val="100"/>
        <c:tickLblSkip val="1"/>
        <c:tickMarkSkip val="1"/>
        <c:noMultiLvlLbl val="0"/>
      </c:catAx>
      <c:valAx>
        <c:axId val="235061792"/>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35061400"/>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000033691422699E-2"/>
          <c:y val="0.13978519087630012"/>
          <c:w val="0.74300036279314585"/>
          <c:h val="0.76523431415615573"/>
        </c:manualLayout>
      </c:layout>
      <c:barChart>
        <c:barDir val="col"/>
        <c:grouping val="clustered"/>
        <c:varyColors val="0"/>
        <c:ser>
          <c:idx val="1"/>
          <c:order val="1"/>
          <c:tx>
            <c:strRef>
              <c:f>'RIO - M8'!$J$71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M8'!$K$63:$O$63</c:f>
              <c:strCache>
                <c:ptCount val="5"/>
                <c:pt idx="0">
                  <c:v>A</c:v>
                </c:pt>
                <c:pt idx="1">
                  <c:v>B</c:v>
                </c:pt>
                <c:pt idx="2">
                  <c:v>C</c:v>
                </c:pt>
                <c:pt idx="3">
                  <c:v>D</c:v>
                </c:pt>
                <c:pt idx="4">
                  <c:v>E</c:v>
                </c:pt>
              </c:strCache>
            </c:strRef>
          </c:cat>
          <c:val>
            <c:numRef>
              <c:f>'RIO - M8'!$K$71:$O$71</c:f>
              <c:numCache>
                <c:formatCode>0%</c:formatCode>
                <c:ptCount val="5"/>
                <c:pt idx="0">
                  <c:v>0</c:v>
                </c:pt>
                <c:pt idx="1">
                  <c:v>0</c:v>
                </c:pt>
                <c:pt idx="2">
                  <c:v>0.66666666666666663</c:v>
                </c:pt>
                <c:pt idx="3">
                  <c:v>0.33333333333333331</c:v>
                </c:pt>
                <c:pt idx="4">
                  <c:v>0</c:v>
                </c:pt>
              </c:numCache>
            </c:numRef>
          </c:val>
        </c:ser>
        <c:ser>
          <c:idx val="2"/>
          <c:order val="2"/>
          <c:tx>
            <c:strRef>
              <c:f>'RIO - M8'!$J$72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M8'!$K$63:$O$63</c:f>
              <c:strCache>
                <c:ptCount val="5"/>
                <c:pt idx="0">
                  <c:v>A</c:v>
                </c:pt>
                <c:pt idx="1">
                  <c:v>B</c:v>
                </c:pt>
                <c:pt idx="2">
                  <c:v>C</c:v>
                </c:pt>
                <c:pt idx="3">
                  <c:v>D</c:v>
                </c:pt>
                <c:pt idx="4">
                  <c:v>E</c:v>
                </c:pt>
              </c:strCache>
            </c:strRef>
          </c:cat>
          <c:val>
            <c:numRef>
              <c:f>'RIO - M8'!$K$72:$O$72</c:f>
              <c:numCache>
                <c:formatCode>0%</c:formatCode>
                <c:ptCount val="5"/>
                <c:pt idx="0">
                  <c:v>0</c:v>
                </c:pt>
                <c:pt idx="1">
                  <c:v>0</c:v>
                </c:pt>
                <c:pt idx="2">
                  <c:v>0.26666666666666666</c:v>
                </c:pt>
                <c:pt idx="3">
                  <c:v>0</c:v>
                </c:pt>
                <c:pt idx="4">
                  <c:v>0</c:v>
                </c:pt>
              </c:numCache>
            </c:numRef>
          </c:val>
        </c:ser>
        <c:dLbls>
          <c:showLegendKey val="0"/>
          <c:showVal val="0"/>
          <c:showCatName val="0"/>
          <c:showSerName val="0"/>
          <c:showPercent val="0"/>
          <c:showBubbleSize val="0"/>
        </c:dLbls>
        <c:gapWidth val="40"/>
        <c:axId val="235062576"/>
        <c:axId val="235062968"/>
      </c:barChart>
      <c:barChart>
        <c:barDir val="col"/>
        <c:grouping val="clustered"/>
        <c:varyColors val="0"/>
        <c:ser>
          <c:idx val="0"/>
          <c:order val="0"/>
          <c:tx>
            <c:strRef>
              <c:f>'RIO - M8'!$J$64</c:f>
              <c:strCache>
                <c:ptCount val="1"/>
                <c:pt idx="0">
                  <c:v>Norm</c:v>
                </c:pt>
              </c:strCache>
            </c:strRef>
          </c:tx>
          <c:spPr>
            <a:noFill/>
            <a:ln w="25400">
              <a:solidFill>
                <a:srgbClr val="000000"/>
              </a:solidFill>
              <a:prstDash val="solid"/>
            </a:ln>
          </c:spPr>
          <c:invertIfNegative val="0"/>
          <c:cat>
            <c:strRef>
              <c:f>'RIO - M8'!$K$63:$O$63</c:f>
              <c:strCache>
                <c:ptCount val="5"/>
                <c:pt idx="0">
                  <c:v>A</c:v>
                </c:pt>
                <c:pt idx="1">
                  <c:v>B</c:v>
                </c:pt>
                <c:pt idx="2">
                  <c:v>C</c:v>
                </c:pt>
                <c:pt idx="3">
                  <c:v>D</c:v>
                </c:pt>
                <c:pt idx="4">
                  <c:v>E</c:v>
                </c:pt>
              </c:strCache>
            </c:strRef>
          </c:cat>
          <c:val>
            <c:numRef>
              <c:f>'RIO - M8'!$K$64:$O$64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35063360"/>
        <c:axId val="235063752"/>
      </c:barChart>
      <c:catAx>
        <c:axId val="235062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5062968"/>
        <c:crosses val="autoZero"/>
        <c:auto val="1"/>
        <c:lblAlgn val="ctr"/>
        <c:lblOffset val="100"/>
        <c:tickLblSkip val="1"/>
        <c:tickMarkSkip val="1"/>
        <c:noMultiLvlLbl val="0"/>
      </c:catAx>
      <c:valAx>
        <c:axId val="235062968"/>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35062576"/>
        <c:crosses val="autoZero"/>
        <c:crossBetween val="between"/>
        <c:majorUnit val="0.2"/>
      </c:valAx>
      <c:catAx>
        <c:axId val="235063360"/>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7300020997375327"/>
              <c:y val="5.9139973094761003E-2"/>
            </c:manualLayout>
          </c:layout>
          <c:overlay val="0"/>
          <c:spPr>
            <a:noFill/>
            <a:ln w="25400">
              <a:noFill/>
            </a:ln>
          </c:spPr>
        </c:title>
        <c:numFmt formatCode="General" sourceLinked="1"/>
        <c:majorTickMark val="out"/>
        <c:minorTickMark val="none"/>
        <c:tickLblPos val="nextTo"/>
        <c:crossAx val="235063752"/>
        <c:crosses val="autoZero"/>
        <c:auto val="1"/>
        <c:lblAlgn val="ctr"/>
        <c:lblOffset val="100"/>
        <c:noMultiLvlLbl val="0"/>
      </c:catAx>
      <c:valAx>
        <c:axId val="235063752"/>
        <c:scaling>
          <c:orientation val="minMax"/>
        </c:scaling>
        <c:delete val="1"/>
        <c:axPos val="r"/>
        <c:numFmt formatCode="0%" sourceLinked="1"/>
        <c:majorTickMark val="out"/>
        <c:minorTickMark val="none"/>
        <c:tickLblPos val="nextTo"/>
        <c:crossAx val="235063360"/>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84300041994750652"/>
          <c:y val="0.40322655904571064"/>
          <c:w val="8.2999999999999963E-2"/>
          <c:h val="0.12186398743167853"/>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0100514842593609E-2"/>
          <c:y val="1.0869584447153191E-2"/>
          <c:w val="0.70854314820142472"/>
          <c:h val="0.98188579505950491"/>
        </c:manualLayout>
      </c:layout>
      <c:barChart>
        <c:barDir val="col"/>
        <c:grouping val="clustered"/>
        <c:varyColors val="0"/>
        <c:ser>
          <c:idx val="0"/>
          <c:order val="0"/>
          <c:tx>
            <c:strRef>
              <c:f>'OP - M8'!$F$11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M8'!$F$12</c:f>
              <c:numCache>
                <c:formatCode>0%</c:formatCode>
                <c:ptCount val="1"/>
                <c:pt idx="0">
                  <c:v>0.89999999999999991</c:v>
                </c:pt>
              </c:numCache>
            </c:numRef>
          </c:val>
        </c:ser>
        <c:ser>
          <c:idx val="1"/>
          <c:order val="1"/>
          <c:tx>
            <c:strRef>
              <c:f>'OP - M8'!$G$11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M8'!$G$12</c:f>
              <c:numCache>
                <c:formatCode>0%</c:formatCode>
                <c:ptCount val="1"/>
                <c:pt idx="0">
                  <c:v>0.32500000000000001</c:v>
                </c:pt>
              </c:numCache>
            </c:numRef>
          </c:val>
        </c:ser>
        <c:ser>
          <c:idx val="2"/>
          <c:order val="2"/>
          <c:tx>
            <c:strRef>
              <c:f>'OP - M8'!$H$11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M8'!$H$12</c:f>
              <c:numCache>
                <c:formatCode>0%</c:formatCode>
                <c:ptCount val="1"/>
                <c:pt idx="0">
                  <c:v>0.52500000000000002</c:v>
                </c:pt>
              </c:numCache>
            </c:numRef>
          </c:val>
        </c:ser>
        <c:ser>
          <c:idx val="3"/>
          <c:order val="3"/>
          <c:tx>
            <c:strRef>
              <c:f>'OP - M8'!$I$11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M8'!$I$12</c:f>
              <c:numCache>
                <c:formatCode>0%</c:formatCode>
                <c:ptCount val="1"/>
                <c:pt idx="0">
                  <c:v>1.0249999999999999</c:v>
                </c:pt>
              </c:numCache>
            </c:numRef>
          </c:val>
        </c:ser>
        <c:ser>
          <c:idx val="4"/>
          <c:order val="4"/>
          <c:tx>
            <c:strRef>
              <c:f>'OP - M8'!$J$11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M8'!$J$12</c:f>
              <c:numCache>
                <c:formatCode>0%</c:formatCode>
                <c:ptCount val="1"/>
                <c:pt idx="0">
                  <c:v>0.70000000000000007</c:v>
                </c:pt>
              </c:numCache>
            </c:numRef>
          </c:val>
        </c:ser>
        <c:dLbls>
          <c:showLegendKey val="0"/>
          <c:showVal val="0"/>
          <c:showCatName val="0"/>
          <c:showSerName val="0"/>
          <c:showPercent val="0"/>
          <c:showBubbleSize val="0"/>
        </c:dLbls>
        <c:gapWidth val="50"/>
        <c:overlap val="-50"/>
        <c:axId val="237358968"/>
        <c:axId val="237359360"/>
      </c:barChart>
      <c:barChart>
        <c:barDir val="col"/>
        <c:grouping val="clustered"/>
        <c:varyColors val="0"/>
        <c:ser>
          <c:idx val="6"/>
          <c:order val="5"/>
          <c:tx>
            <c:strRef>
              <c:f>'OP - M8'!$K$11</c:f>
              <c:strCache>
                <c:ptCount val="1"/>
                <c:pt idx="0">
                  <c:v>80% Norm</c:v>
                </c:pt>
              </c:strCache>
            </c:strRef>
          </c:tx>
          <c:spPr>
            <a:noFill/>
            <a:ln w="38100">
              <a:solidFill>
                <a:srgbClr val="FF0000"/>
              </a:solidFill>
              <a:prstDash val="solid"/>
            </a:ln>
          </c:spPr>
          <c:invertIfNegative val="0"/>
          <c:val>
            <c:numRef>
              <c:f>'OP - M8'!$K$12</c:f>
              <c:numCache>
                <c:formatCode>0%</c:formatCode>
                <c:ptCount val="1"/>
                <c:pt idx="0">
                  <c:v>0.48</c:v>
                </c:pt>
              </c:numCache>
            </c:numRef>
          </c:val>
        </c:ser>
        <c:ser>
          <c:idx val="5"/>
          <c:order val="6"/>
          <c:tx>
            <c:strRef>
              <c:f>'OP - M8'!$L$11</c:f>
              <c:strCache>
                <c:ptCount val="1"/>
                <c:pt idx="0">
                  <c:v>Profiel</c:v>
                </c:pt>
              </c:strCache>
            </c:strRef>
          </c:tx>
          <c:spPr>
            <a:noFill/>
            <a:ln w="38100">
              <a:solidFill>
                <a:srgbClr val="0000FF"/>
              </a:solidFill>
              <a:prstDash val="solid"/>
            </a:ln>
          </c:spPr>
          <c:invertIfNegative val="0"/>
          <c:val>
            <c:numRef>
              <c:f>'OP - M8'!$L$12</c:f>
              <c:numCache>
                <c:formatCode>0%</c:formatCode>
                <c:ptCount val="1"/>
                <c:pt idx="0">
                  <c:v>0.6</c:v>
                </c:pt>
              </c:numCache>
            </c:numRef>
          </c:val>
        </c:ser>
        <c:dLbls>
          <c:showLegendKey val="0"/>
          <c:showVal val="0"/>
          <c:showCatName val="0"/>
          <c:showSerName val="0"/>
          <c:showPercent val="0"/>
          <c:showBubbleSize val="0"/>
        </c:dLbls>
        <c:gapWidth val="0"/>
        <c:overlap val="100"/>
        <c:axId val="237359752"/>
        <c:axId val="237360144"/>
      </c:barChart>
      <c:catAx>
        <c:axId val="237358968"/>
        <c:scaling>
          <c:orientation val="minMax"/>
        </c:scaling>
        <c:delete val="1"/>
        <c:axPos val="b"/>
        <c:majorTickMark val="out"/>
        <c:minorTickMark val="none"/>
        <c:tickLblPos val="nextTo"/>
        <c:crossAx val="237359360"/>
        <c:crossesAt val="0"/>
        <c:auto val="1"/>
        <c:lblAlgn val="ctr"/>
        <c:lblOffset val="100"/>
        <c:noMultiLvlLbl val="0"/>
      </c:catAx>
      <c:valAx>
        <c:axId val="237359360"/>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7358968"/>
        <c:crosses val="autoZero"/>
        <c:crossBetween val="between"/>
        <c:majorUnit val="0.2"/>
        <c:minorUnit val="0.04"/>
      </c:valAx>
      <c:catAx>
        <c:axId val="237359752"/>
        <c:scaling>
          <c:orientation val="minMax"/>
        </c:scaling>
        <c:delete val="1"/>
        <c:axPos val="b"/>
        <c:majorTickMark val="out"/>
        <c:minorTickMark val="none"/>
        <c:tickLblPos val="nextTo"/>
        <c:crossAx val="237360144"/>
        <c:crosses val="autoZero"/>
        <c:auto val="1"/>
        <c:lblAlgn val="ctr"/>
        <c:lblOffset val="100"/>
        <c:noMultiLvlLbl val="0"/>
      </c:catAx>
      <c:valAx>
        <c:axId val="237360144"/>
        <c:scaling>
          <c:orientation val="minMax"/>
        </c:scaling>
        <c:delete val="1"/>
        <c:axPos val="r"/>
        <c:numFmt formatCode="0%" sourceLinked="1"/>
        <c:majorTickMark val="out"/>
        <c:minorTickMark val="none"/>
        <c:tickLblPos val="nextTo"/>
        <c:crossAx val="237359752"/>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3995014442290197"/>
          <c:y val="1.9927536231884056E-2"/>
          <c:w val="0.24748756907899072"/>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216224776301084E-2"/>
          <c:y val="3.6764793880193686E-2"/>
          <c:w val="0.80540583055628723"/>
          <c:h val="0.84068828672709561"/>
        </c:manualLayout>
      </c:layout>
      <c:lineChart>
        <c:grouping val="standard"/>
        <c:varyColors val="0"/>
        <c:ser>
          <c:idx val="0"/>
          <c:order val="0"/>
          <c:tx>
            <c:strRef>
              <c:f>'Lijn-Profiel per vak'!$J$7:$J$8</c:f>
              <c:strCache>
                <c:ptCount val="2"/>
                <c:pt idx="0">
                  <c:v>TOTAAL</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vak'!$I$9:$I$17</c:f>
              <c:strCache>
                <c:ptCount val="9"/>
                <c:pt idx="0">
                  <c:v>M4</c:v>
                </c:pt>
                <c:pt idx="1">
                  <c:v>E4</c:v>
                </c:pt>
                <c:pt idx="2">
                  <c:v>M5</c:v>
                </c:pt>
                <c:pt idx="3">
                  <c:v>E5</c:v>
                </c:pt>
                <c:pt idx="4">
                  <c:v>M6</c:v>
                </c:pt>
                <c:pt idx="5">
                  <c:v>E6</c:v>
                </c:pt>
                <c:pt idx="6">
                  <c:v>M7</c:v>
                </c:pt>
                <c:pt idx="7">
                  <c:v>E7</c:v>
                </c:pt>
                <c:pt idx="8">
                  <c:v>M8</c:v>
                </c:pt>
              </c:strCache>
            </c:strRef>
          </c:cat>
          <c:val>
            <c:numRef>
              <c:f>'Lijn-Profiel per vak'!$J$9:$J$17</c:f>
              <c:numCache>
                <c:formatCode>0%</c:formatCode>
                <c:ptCount val="9"/>
                <c:pt idx="0">
                  <c:v>0.62083333333333335</c:v>
                </c:pt>
                <c:pt idx="1">
                  <c:v>0.72499999999999998</c:v>
                </c:pt>
                <c:pt idx="2">
                  <c:v>0.53749999999999998</c:v>
                </c:pt>
                <c:pt idx="3">
                  <c:v>0.65</c:v>
                </c:pt>
                <c:pt idx="4">
                  <c:v>0.5625</c:v>
                </c:pt>
                <c:pt idx="5">
                  <c:v>0</c:v>
                </c:pt>
                <c:pt idx="6">
                  <c:v>0</c:v>
                </c:pt>
                <c:pt idx="7">
                  <c:v>0</c:v>
                </c:pt>
                <c:pt idx="8">
                  <c:v>0</c:v>
                </c:pt>
              </c:numCache>
            </c:numRef>
          </c:val>
          <c:smooth val="0"/>
        </c:ser>
        <c:ser>
          <c:idx val="1"/>
          <c:order val="1"/>
          <c:tx>
            <c:strRef>
              <c:f>'Lijn-Profiel per vak'!$K$7:$K$8</c:f>
              <c:strCache>
                <c:ptCount val="2"/>
                <c:pt idx="0">
                  <c:v>TOTAAL</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vak'!$I$9:$I$17</c:f>
              <c:strCache>
                <c:ptCount val="9"/>
                <c:pt idx="0">
                  <c:v>M4</c:v>
                </c:pt>
                <c:pt idx="1">
                  <c:v>E4</c:v>
                </c:pt>
                <c:pt idx="2">
                  <c:v>M5</c:v>
                </c:pt>
                <c:pt idx="3">
                  <c:v>E5</c:v>
                </c:pt>
                <c:pt idx="4">
                  <c:v>M6</c:v>
                </c:pt>
                <c:pt idx="5">
                  <c:v>E6</c:v>
                </c:pt>
                <c:pt idx="6">
                  <c:v>M7</c:v>
                </c:pt>
                <c:pt idx="7">
                  <c:v>E7</c:v>
                </c:pt>
                <c:pt idx="8">
                  <c:v>M8</c:v>
                </c:pt>
              </c:strCache>
            </c:strRef>
          </c:cat>
          <c:val>
            <c:numRef>
              <c:f>'Lijn-Profiel per vak'!$K$9:$K$17</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'Lijn-Profiel per vak'!$L$7:$L$8</c:f>
              <c:strCache>
                <c:ptCount val="2"/>
                <c:pt idx="0">
                  <c:v>TOTAAL</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vak'!$I$9:$I$17</c:f>
              <c:strCache>
                <c:ptCount val="9"/>
                <c:pt idx="0">
                  <c:v>M4</c:v>
                </c:pt>
                <c:pt idx="1">
                  <c:v>E4</c:v>
                </c:pt>
                <c:pt idx="2">
                  <c:v>M5</c:v>
                </c:pt>
                <c:pt idx="3">
                  <c:v>E5</c:v>
                </c:pt>
                <c:pt idx="4">
                  <c:v>M6</c:v>
                </c:pt>
                <c:pt idx="5">
                  <c:v>E6</c:v>
                </c:pt>
                <c:pt idx="6">
                  <c:v>M7</c:v>
                </c:pt>
                <c:pt idx="7">
                  <c:v>E7</c:v>
                </c:pt>
                <c:pt idx="8">
                  <c:v>M8</c:v>
                </c:pt>
              </c:strCache>
            </c:strRef>
          </c:cat>
          <c:val>
            <c:numRef>
              <c:f>'Lijn-Profiel per vak'!$L$9:$L$17</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7360928"/>
        <c:axId val="237361320"/>
      </c:lineChart>
      <c:catAx>
        <c:axId val="237360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7361320"/>
        <c:crossesAt val="0"/>
        <c:auto val="1"/>
        <c:lblAlgn val="ctr"/>
        <c:lblOffset val="100"/>
        <c:tickLblSkip val="1"/>
        <c:tickMarkSkip val="1"/>
        <c:noMultiLvlLbl val="0"/>
      </c:catAx>
      <c:valAx>
        <c:axId val="237361320"/>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7360928"/>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567612967297999"/>
          <c:y val="4.1666666666666664E-2"/>
          <c:w val="0.15243254593175859"/>
          <c:h val="0.4240206371262415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163801608277212E-2"/>
          <c:y val="3.5971307261941844E-2"/>
          <c:w val="0.80819008041386065"/>
          <c:h val="0.84412667708023525"/>
        </c:manualLayout>
      </c:layout>
      <c:lineChart>
        <c:grouping val="standard"/>
        <c:varyColors val="0"/>
        <c:ser>
          <c:idx val="0"/>
          <c:order val="0"/>
          <c:tx>
            <c:strRef>
              <c:f>'Lijn-Profiel per vak'!$J$19:$J$20</c:f>
              <c:strCache>
                <c:ptCount val="2"/>
                <c:pt idx="0">
                  <c:v>WOORDEN LEZEN</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vak'!$I$21:$I$29</c:f>
              <c:strCache>
                <c:ptCount val="9"/>
                <c:pt idx="0">
                  <c:v>M4</c:v>
                </c:pt>
                <c:pt idx="1">
                  <c:v>E4</c:v>
                </c:pt>
                <c:pt idx="2">
                  <c:v>M5</c:v>
                </c:pt>
                <c:pt idx="3">
                  <c:v>E5</c:v>
                </c:pt>
                <c:pt idx="4">
                  <c:v>M6</c:v>
                </c:pt>
                <c:pt idx="5">
                  <c:v>E6</c:v>
                </c:pt>
                <c:pt idx="6">
                  <c:v>M7</c:v>
                </c:pt>
                <c:pt idx="7">
                  <c:v>E7</c:v>
                </c:pt>
                <c:pt idx="8">
                  <c:v>M8</c:v>
                </c:pt>
              </c:strCache>
            </c:strRef>
          </c:cat>
          <c:val>
            <c:numRef>
              <c:f>'Lijn-Profiel per vak'!$J$21:$J$29</c:f>
              <c:numCache>
                <c:formatCode>0%</c:formatCode>
                <c:ptCount val="9"/>
                <c:pt idx="0">
                  <c:v>0.625</c:v>
                </c:pt>
                <c:pt idx="1">
                  <c:v>0.57499999999999996</c:v>
                </c:pt>
                <c:pt idx="2">
                  <c:v>0.625</c:v>
                </c:pt>
                <c:pt idx="3">
                  <c:v>0.625</c:v>
                </c:pt>
                <c:pt idx="4">
                  <c:v>0.72499999999999998</c:v>
                </c:pt>
                <c:pt idx="5">
                  <c:v>0</c:v>
                </c:pt>
                <c:pt idx="6">
                  <c:v>0</c:v>
                </c:pt>
                <c:pt idx="7">
                  <c:v>0</c:v>
                </c:pt>
                <c:pt idx="8">
                  <c:v>0</c:v>
                </c:pt>
              </c:numCache>
            </c:numRef>
          </c:val>
          <c:smooth val="0"/>
        </c:ser>
        <c:ser>
          <c:idx val="1"/>
          <c:order val="1"/>
          <c:tx>
            <c:strRef>
              <c:f>'Lijn-Profiel per vak'!$K$19:$K$20</c:f>
              <c:strCache>
                <c:ptCount val="2"/>
                <c:pt idx="0">
                  <c:v>WOORDEN LEZEN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vak'!$I$21:$I$29</c:f>
              <c:strCache>
                <c:ptCount val="9"/>
                <c:pt idx="0">
                  <c:v>M4</c:v>
                </c:pt>
                <c:pt idx="1">
                  <c:v>E4</c:v>
                </c:pt>
                <c:pt idx="2">
                  <c:v>M5</c:v>
                </c:pt>
                <c:pt idx="3">
                  <c:v>E5</c:v>
                </c:pt>
                <c:pt idx="4">
                  <c:v>M6</c:v>
                </c:pt>
                <c:pt idx="5">
                  <c:v>E6</c:v>
                </c:pt>
                <c:pt idx="6">
                  <c:v>M7</c:v>
                </c:pt>
                <c:pt idx="7">
                  <c:v>E7</c:v>
                </c:pt>
                <c:pt idx="8">
                  <c:v>M8</c:v>
                </c:pt>
              </c:strCache>
            </c:strRef>
          </c:cat>
          <c:val>
            <c:numRef>
              <c:f>'Lijn-Profiel per vak'!$K$21:$K$29</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'Lijn-Profiel per vak'!$L$19:$L$20</c:f>
              <c:strCache>
                <c:ptCount val="2"/>
                <c:pt idx="0">
                  <c:v>WOORDEN LEZEN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vak'!$I$21:$I$29</c:f>
              <c:strCache>
                <c:ptCount val="9"/>
                <c:pt idx="0">
                  <c:v>M4</c:v>
                </c:pt>
                <c:pt idx="1">
                  <c:v>E4</c:v>
                </c:pt>
                <c:pt idx="2">
                  <c:v>M5</c:v>
                </c:pt>
                <c:pt idx="3">
                  <c:v>E5</c:v>
                </c:pt>
                <c:pt idx="4">
                  <c:v>M6</c:v>
                </c:pt>
                <c:pt idx="5">
                  <c:v>E6</c:v>
                </c:pt>
                <c:pt idx="6">
                  <c:v>M7</c:v>
                </c:pt>
                <c:pt idx="7">
                  <c:v>E7</c:v>
                </c:pt>
                <c:pt idx="8">
                  <c:v>M8</c:v>
                </c:pt>
              </c:strCache>
            </c:strRef>
          </c:cat>
          <c:val>
            <c:numRef>
              <c:f>'Lijn-Profiel per vak'!$L$21:$L$29</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7362104"/>
        <c:axId val="237362496"/>
      </c:lineChart>
      <c:catAx>
        <c:axId val="2373621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7362496"/>
        <c:crossesAt val="0"/>
        <c:auto val="1"/>
        <c:lblAlgn val="ctr"/>
        <c:lblOffset val="100"/>
        <c:tickLblSkip val="1"/>
        <c:tickMarkSkip val="1"/>
        <c:noMultiLvlLbl val="0"/>
      </c:catAx>
      <c:valAx>
        <c:axId val="237362496"/>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7362104"/>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512976287446827"/>
          <c:y val="5.0359712230215826E-2"/>
          <c:w val="0.15625011313241011"/>
          <c:h val="0.422063357188265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29212440866312E-2"/>
          <c:y val="1.0869584447153191E-2"/>
          <c:w val="0.74727748340214317"/>
          <c:h val="0.98188579505950491"/>
        </c:manualLayout>
      </c:layout>
      <c:barChart>
        <c:barDir val="col"/>
        <c:grouping val="clustered"/>
        <c:varyColors val="0"/>
        <c:ser>
          <c:idx val="0"/>
          <c:order val="0"/>
          <c:tx>
            <c:strRef>
              <c:f>'OP - M4'!$F$11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M4'!$F$12</c:f>
              <c:numCache>
                <c:formatCode>0%</c:formatCode>
                <c:ptCount val="1"/>
                <c:pt idx="0">
                  <c:v>0.625</c:v>
                </c:pt>
              </c:numCache>
            </c:numRef>
          </c:val>
        </c:ser>
        <c:ser>
          <c:idx val="1"/>
          <c:order val="1"/>
          <c:tx>
            <c:strRef>
              <c:f>'OP - M4'!$G$11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M4'!$G$12</c:f>
              <c:numCache>
                <c:formatCode>0%</c:formatCode>
                <c:ptCount val="1"/>
                <c:pt idx="0">
                  <c:v>0.77500000000000002</c:v>
                </c:pt>
              </c:numCache>
            </c:numRef>
          </c:val>
        </c:ser>
        <c:ser>
          <c:idx val="2"/>
          <c:order val="2"/>
          <c:tx>
            <c:strRef>
              <c:f>'OP - M4'!$H$11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M4'!$H$12</c:f>
              <c:numCache>
                <c:formatCode>0%</c:formatCode>
                <c:ptCount val="1"/>
                <c:pt idx="0">
                  <c:v>0.7</c:v>
                </c:pt>
              </c:numCache>
            </c:numRef>
          </c:val>
        </c:ser>
        <c:ser>
          <c:idx val="3"/>
          <c:order val="3"/>
          <c:tx>
            <c:strRef>
              <c:f>'OP - M4'!$I$11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M4'!$I$12</c:f>
              <c:numCache>
                <c:formatCode>0%</c:formatCode>
                <c:ptCount val="1"/>
                <c:pt idx="0">
                  <c:v>0.875</c:v>
                </c:pt>
              </c:numCache>
            </c:numRef>
          </c:val>
        </c:ser>
        <c:ser>
          <c:idx val="4"/>
          <c:order val="4"/>
          <c:tx>
            <c:strRef>
              <c:f>'OP - M4'!$J$11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M4'!$J$12</c:f>
              <c:numCache>
                <c:formatCode>0%</c:formatCode>
                <c:ptCount val="1"/>
                <c:pt idx="0">
                  <c:v>0.25</c:v>
                </c:pt>
              </c:numCache>
            </c:numRef>
          </c:val>
        </c:ser>
        <c:dLbls>
          <c:showLegendKey val="0"/>
          <c:showVal val="0"/>
          <c:showCatName val="0"/>
          <c:showSerName val="0"/>
          <c:showPercent val="0"/>
          <c:showBubbleSize val="0"/>
        </c:dLbls>
        <c:gapWidth val="50"/>
        <c:overlap val="-50"/>
        <c:axId val="216532880"/>
        <c:axId val="215732968"/>
      </c:barChart>
      <c:barChart>
        <c:barDir val="col"/>
        <c:grouping val="clustered"/>
        <c:varyColors val="0"/>
        <c:ser>
          <c:idx val="6"/>
          <c:order val="5"/>
          <c:tx>
            <c:strRef>
              <c:f>'OP - M4'!$K$11</c:f>
              <c:strCache>
                <c:ptCount val="1"/>
                <c:pt idx="0">
                  <c:v>80% Norm</c:v>
                </c:pt>
              </c:strCache>
            </c:strRef>
          </c:tx>
          <c:spPr>
            <a:noFill/>
            <a:ln w="38100">
              <a:solidFill>
                <a:srgbClr val="FF0000"/>
              </a:solidFill>
              <a:prstDash val="solid"/>
            </a:ln>
          </c:spPr>
          <c:invertIfNegative val="0"/>
          <c:val>
            <c:numRef>
              <c:f>'OP - M4'!$K$12</c:f>
              <c:numCache>
                <c:formatCode>0%</c:formatCode>
                <c:ptCount val="1"/>
                <c:pt idx="0">
                  <c:v>0.64000000000000012</c:v>
                </c:pt>
              </c:numCache>
            </c:numRef>
          </c:val>
        </c:ser>
        <c:ser>
          <c:idx val="5"/>
          <c:order val="6"/>
          <c:tx>
            <c:strRef>
              <c:f>'OP - M4'!$L$11</c:f>
              <c:strCache>
                <c:ptCount val="1"/>
                <c:pt idx="0">
                  <c:v>Profiel</c:v>
                </c:pt>
              </c:strCache>
            </c:strRef>
          </c:tx>
          <c:spPr>
            <a:noFill/>
            <a:ln w="38100">
              <a:solidFill>
                <a:srgbClr val="0000FF"/>
              </a:solidFill>
              <a:prstDash val="solid"/>
            </a:ln>
          </c:spPr>
          <c:invertIfNegative val="0"/>
          <c:val>
            <c:numRef>
              <c:f>'OP - M4'!$L$12</c:f>
              <c:numCache>
                <c:formatCode>0%</c:formatCode>
                <c:ptCount val="1"/>
                <c:pt idx="0">
                  <c:v>0.8</c:v>
                </c:pt>
              </c:numCache>
            </c:numRef>
          </c:val>
        </c:ser>
        <c:dLbls>
          <c:showLegendKey val="0"/>
          <c:showVal val="0"/>
          <c:showCatName val="0"/>
          <c:showSerName val="0"/>
          <c:showPercent val="0"/>
          <c:showBubbleSize val="0"/>
        </c:dLbls>
        <c:gapWidth val="0"/>
        <c:overlap val="100"/>
        <c:axId val="215733352"/>
        <c:axId val="215748288"/>
      </c:barChart>
      <c:catAx>
        <c:axId val="216532880"/>
        <c:scaling>
          <c:orientation val="minMax"/>
        </c:scaling>
        <c:delete val="1"/>
        <c:axPos val="b"/>
        <c:majorTickMark val="out"/>
        <c:minorTickMark val="none"/>
        <c:tickLblPos val="nextTo"/>
        <c:crossAx val="215732968"/>
        <c:crossesAt val="0"/>
        <c:auto val="1"/>
        <c:lblAlgn val="ctr"/>
        <c:lblOffset val="100"/>
        <c:noMultiLvlLbl val="0"/>
      </c:catAx>
      <c:valAx>
        <c:axId val="215732968"/>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16532880"/>
        <c:crosses val="autoZero"/>
        <c:crossBetween val="between"/>
        <c:majorUnit val="0.2"/>
        <c:minorUnit val="0.04"/>
      </c:valAx>
      <c:catAx>
        <c:axId val="215733352"/>
        <c:scaling>
          <c:orientation val="minMax"/>
        </c:scaling>
        <c:delete val="1"/>
        <c:axPos val="b"/>
        <c:majorTickMark val="out"/>
        <c:minorTickMark val="none"/>
        <c:tickLblPos val="nextTo"/>
        <c:crossAx val="215748288"/>
        <c:crosses val="autoZero"/>
        <c:auto val="1"/>
        <c:lblAlgn val="ctr"/>
        <c:lblOffset val="100"/>
        <c:noMultiLvlLbl val="0"/>
      </c:catAx>
      <c:valAx>
        <c:axId val="215748288"/>
        <c:scaling>
          <c:orientation val="minMax"/>
        </c:scaling>
        <c:delete val="1"/>
        <c:axPos val="r"/>
        <c:numFmt formatCode="0%" sourceLinked="1"/>
        <c:majorTickMark val="out"/>
        <c:minorTickMark val="none"/>
        <c:tickLblPos val="nextTo"/>
        <c:crossAx val="215733352"/>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7342127985635778"/>
          <c:y val="1.9927536231884056E-2"/>
          <c:w val="0.2145971786206462"/>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163801608277212E-2"/>
          <c:y val="3.6764793880193686E-2"/>
          <c:w val="0.81357801428328635"/>
          <c:h val="0.84068828672709561"/>
        </c:manualLayout>
      </c:layout>
      <c:lineChart>
        <c:grouping val="standard"/>
        <c:varyColors val="0"/>
        <c:ser>
          <c:idx val="0"/>
          <c:order val="0"/>
          <c:tx>
            <c:strRef>
              <c:f>'Lijn-Profiel per vak'!$J$32:$J$33</c:f>
              <c:strCache>
                <c:ptCount val="2"/>
                <c:pt idx="0">
                  <c:v>BEGR. LEZEN</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vak'!$I$34:$I$42</c:f>
              <c:strCache>
                <c:ptCount val="9"/>
                <c:pt idx="0">
                  <c:v>M4</c:v>
                </c:pt>
                <c:pt idx="1">
                  <c:v>E4</c:v>
                </c:pt>
                <c:pt idx="2">
                  <c:v>M5</c:v>
                </c:pt>
                <c:pt idx="3">
                  <c:v>E5</c:v>
                </c:pt>
                <c:pt idx="4">
                  <c:v>M6</c:v>
                </c:pt>
                <c:pt idx="5">
                  <c:v>E6</c:v>
                </c:pt>
                <c:pt idx="6">
                  <c:v>M7</c:v>
                </c:pt>
                <c:pt idx="7">
                  <c:v>E7</c:v>
                </c:pt>
                <c:pt idx="8">
                  <c:v>M8</c:v>
                </c:pt>
              </c:strCache>
            </c:strRef>
          </c:cat>
          <c:val>
            <c:numRef>
              <c:f>'Lijn-Profiel per vak'!$J$34:$J$42</c:f>
              <c:numCache>
                <c:formatCode>0%</c:formatCode>
                <c:ptCount val="9"/>
                <c:pt idx="0">
                  <c:v>0.77500000000000002</c:v>
                </c:pt>
                <c:pt idx="1">
                  <c:v>0.72499999999999998</c:v>
                </c:pt>
                <c:pt idx="2">
                  <c:v>0.8</c:v>
                </c:pt>
                <c:pt idx="3">
                  <c:v>0.67500000000000016</c:v>
                </c:pt>
                <c:pt idx="4">
                  <c:v>0.55000000000000004</c:v>
                </c:pt>
                <c:pt idx="5">
                  <c:v>0</c:v>
                </c:pt>
                <c:pt idx="6">
                  <c:v>0</c:v>
                </c:pt>
                <c:pt idx="7">
                  <c:v>0</c:v>
                </c:pt>
                <c:pt idx="8">
                  <c:v>0</c:v>
                </c:pt>
              </c:numCache>
            </c:numRef>
          </c:val>
          <c:smooth val="0"/>
        </c:ser>
        <c:ser>
          <c:idx val="1"/>
          <c:order val="1"/>
          <c:tx>
            <c:strRef>
              <c:f>'Lijn-Profiel per vak'!$K$32:$K$33</c:f>
              <c:strCache>
                <c:ptCount val="2"/>
                <c:pt idx="0">
                  <c:v>BEGR. LEZEN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vak'!$I$34:$I$42</c:f>
              <c:strCache>
                <c:ptCount val="9"/>
                <c:pt idx="0">
                  <c:v>M4</c:v>
                </c:pt>
                <c:pt idx="1">
                  <c:v>E4</c:v>
                </c:pt>
                <c:pt idx="2">
                  <c:v>M5</c:v>
                </c:pt>
                <c:pt idx="3">
                  <c:v>E5</c:v>
                </c:pt>
                <c:pt idx="4">
                  <c:v>M6</c:v>
                </c:pt>
                <c:pt idx="5">
                  <c:v>E6</c:v>
                </c:pt>
                <c:pt idx="6">
                  <c:v>M7</c:v>
                </c:pt>
                <c:pt idx="7">
                  <c:v>E7</c:v>
                </c:pt>
                <c:pt idx="8">
                  <c:v>M8</c:v>
                </c:pt>
              </c:strCache>
            </c:strRef>
          </c:cat>
          <c:val>
            <c:numRef>
              <c:f>'Lijn-Profiel per vak'!$K$34:$K$42</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'Lijn-Profiel per vak'!$L$32:$L$33</c:f>
              <c:strCache>
                <c:ptCount val="2"/>
                <c:pt idx="0">
                  <c:v>BEGR. LEZEN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vak'!$I$34:$I$42</c:f>
              <c:strCache>
                <c:ptCount val="9"/>
                <c:pt idx="0">
                  <c:v>M4</c:v>
                </c:pt>
                <c:pt idx="1">
                  <c:v>E4</c:v>
                </c:pt>
                <c:pt idx="2">
                  <c:v>M5</c:v>
                </c:pt>
                <c:pt idx="3">
                  <c:v>E5</c:v>
                </c:pt>
                <c:pt idx="4">
                  <c:v>M6</c:v>
                </c:pt>
                <c:pt idx="5">
                  <c:v>E6</c:v>
                </c:pt>
                <c:pt idx="6">
                  <c:v>M7</c:v>
                </c:pt>
                <c:pt idx="7">
                  <c:v>E7</c:v>
                </c:pt>
                <c:pt idx="8">
                  <c:v>M8</c:v>
                </c:pt>
              </c:strCache>
            </c:strRef>
          </c:cat>
          <c:val>
            <c:numRef>
              <c:f>'Lijn-Profiel per vak'!$L$34:$L$42</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7363280"/>
        <c:axId val="237363672"/>
      </c:lineChart>
      <c:catAx>
        <c:axId val="237363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7363672"/>
        <c:crossesAt val="0"/>
        <c:auto val="1"/>
        <c:lblAlgn val="ctr"/>
        <c:lblOffset val="100"/>
        <c:tickLblSkip val="1"/>
        <c:tickMarkSkip val="1"/>
        <c:noMultiLvlLbl val="0"/>
      </c:catAx>
      <c:valAx>
        <c:axId val="23736367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7363280"/>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4142485425567759"/>
          <c:y val="4.6568627450980393E-2"/>
          <c:w val="0.14994617582187342"/>
          <c:h val="0.4142167155576141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201834862385322E-2"/>
          <c:y val="3.6764793880193686E-2"/>
          <c:w val="0.80160550458715596"/>
          <c:h val="0.84068828672709561"/>
        </c:manualLayout>
      </c:layout>
      <c:lineChart>
        <c:grouping val="standard"/>
        <c:varyColors val="0"/>
        <c:ser>
          <c:idx val="0"/>
          <c:order val="0"/>
          <c:tx>
            <c:strRef>
              <c:f>'Lijn-Profiel per vak'!$S$7:$S$8</c:f>
              <c:strCache>
                <c:ptCount val="2"/>
                <c:pt idx="0">
                  <c:v>SPELLING</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vak'!$R$9:$R$17</c:f>
              <c:strCache>
                <c:ptCount val="9"/>
                <c:pt idx="0">
                  <c:v>M4</c:v>
                </c:pt>
                <c:pt idx="1">
                  <c:v>E4</c:v>
                </c:pt>
                <c:pt idx="2">
                  <c:v>M5</c:v>
                </c:pt>
                <c:pt idx="3">
                  <c:v>E5</c:v>
                </c:pt>
                <c:pt idx="4">
                  <c:v>M6</c:v>
                </c:pt>
                <c:pt idx="5">
                  <c:v>E6</c:v>
                </c:pt>
                <c:pt idx="6">
                  <c:v>M7</c:v>
                </c:pt>
                <c:pt idx="7">
                  <c:v>E7</c:v>
                </c:pt>
                <c:pt idx="8">
                  <c:v>M8</c:v>
                </c:pt>
              </c:strCache>
            </c:strRef>
          </c:cat>
          <c:val>
            <c:numRef>
              <c:f>'Lijn-Profiel per vak'!$S$9:$S$17</c:f>
              <c:numCache>
                <c:formatCode>0%</c:formatCode>
                <c:ptCount val="9"/>
                <c:pt idx="0">
                  <c:v>0.7</c:v>
                </c:pt>
                <c:pt idx="1">
                  <c:v>0.92500000000000004</c:v>
                </c:pt>
                <c:pt idx="2">
                  <c:v>0.75</c:v>
                </c:pt>
                <c:pt idx="3">
                  <c:v>0.55000000000000004</c:v>
                </c:pt>
                <c:pt idx="4">
                  <c:v>0.65</c:v>
                </c:pt>
                <c:pt idx="5">
                  <c:v>0</c:v>
                </c:pt>
                <c:pt idx="6">
                  <c:v>0</c:v>
                </c:pt>
                <c:pt idx="7">
                  <c:v>0</c:v>
                </c:pt>
                <c:pt idx="8">
                  <c:v>0</c:v>
                </c:pt>
              </c:numCache>
            </c:numRef>
          </c:val>
          <c:smooth val="0"/>
        </c:ser>
        <c:ser>
          <c:idx val="1"/>
          <c:order val="1"/>
          <c:tx>
            <c:strRef>
              <c:f>'Lijn-Profiel per vak'!$T$7:$T$8</c:f>
              <c:strCache>
                <c:ptCount val="2"/>
                <c:pt idx="0">
                  <c:v>SPELLING</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vak'!$R$9:$R$17</c:f>
              <c:strCache>
                <c:ptCount val="9"/>
                <c:pt idx="0">
                  <c:v>M4</c:v>
                </c:pt>
                <c:pt idx="1">
                  <c:v>E4</c:v>
                </c:pt>
                <c:pt idx="2">
                  <c:v>M5</c:v>
                </c:pt>
                <c:pt idx="3">
                  <c:v>E5</c:v>
                </c:pt>
                <c:pt idx="4">
                  <c:v>M6</c:v>
                </c:pt>
                <c:pt idx="5">
                  <c:v>E6</c:v>
                </c:pt>
                <c:pt idx="6">
                  <c:v>M7</c:v>
                </c:pt>
                <c:pt idx="7">
                  <c:v>E7</c:v>
                </c:pt>
                <c:pt idx="8">
                  <c:v>M8</c:v>
                </c:pt>
              </c:strCache>
            </c:strRef>
          </c:cat>
          <c:val>
            <c:numRef>
              <c:f>'Lijn-Profiel per vak'!$T$9:$T$17</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'Lijn-Profiel per vak'!$V$7:$V$8</c:f>
              <c:strCache>
                <c:ptCount val="2"/>
                <c:pt idx="0">
                  <c:v>SPELLING</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vak'!$R$9:$R$17</c:f>
              <c:strCache>
                <c:ptCount val="9"/>
                <c:pt idx="0">
                  <c:v>M4</c:v>
                </c:pt>
                <c:pt idx="1">
                  <c:v>E4</c:v>
                </c:pt>
                <c:pt idx="2">
                  <c:v>M5</c:v>
                </c:pt>
                <c:pt idx="3">
                  <c:v>E5</c:v>
                </c:pt>
                <c:pt idx="4">
                  <c:v>M6</c:v>
                </c:pt>
                <c:pt idx="5">
                  <c:v>E6</c:v>
                </c:pt>
                <c:pt idx="6">
                  <c:v>M7</c:v>
                </c:pt>
                <c:pt idx="7">
                  <c:v>E7</c:v>
                </c:pt>
                <c:pt idx="8">
                  <c:v>M8</c:v>
                </c:pt>
              </c:strCache>
            </c:strRef>
          </c:cat>
          <c:val>
            <c:numRef>
              <c:f>'Lijn-Profiel per vak'!$V$9:$V$17</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7364456"/>
        <c:axId val="237364848"/>
      </c:lineChart>
      <c:catAx>
        <c:axId val="237364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7364848"/>
        <c:crossesAt val="0"/>
        <c:auto val="1"/>
        <c:lblAlgn val="ctr"/>
        <c:lblOffset val="100"/>
        <c:tickLblSkip val="1"/>
        <c:tickMarkSkip val="1"/>
        <c:noMultiLvlLbl val="0"/>
      </c:catAx>
      <c:valAx>
        <c:axId val="237364848"/>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7364456"/>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178703010151567"/>
          <c:y val="3.6764705882352942E-2"/>
          <c:w val="0.16125302202653902"/>
          <c:h val="0.4142167155576141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62175234520084E-2"/>
          <c:y val="3.5971307261941844E-2"/>
          <c:w val="0.79627519069411579"/>
          <c:h val="0.84412667708023525"/>
        </c:manualLayout>
      </c:layout>
      <c:lineChart>
        <c:grouping val="standard"/>
        <c:varyColors val="0"/>
        <c:ser>
          <c:idx val="0"/>
          <c:order val="0"/>
          <c:tx>
            <c:strRef>
              <c:f>'Lijn-Profiel per vak'!$S$19:$S$20</c:f>
              <c:strCache>
                <c:ptCount val="2"/>
                <c:pt idx="0">
                  <c:v>HOOFDREKENEN</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vak'!$R$21:$R$29</c:f>
              <c:strCache>
                <c:ptCount val="9"/>
                <c:pt idx="0">
                  <c:v>M4</c:v>
                </c:pt>
                <c:pt idx="1">
                  <c:v>E4</c:v>
                </c:pt>
                <c:pt idx="2">
                  <c:v>M5</c:v>
                </c:pt>
                <c:pt idx="3">
                  <c:v>E5</c:v>
                </c:pt>
                <c:pt idx="4">
                  <c:v>M6</c:v>
                </c:pt>
                <c:pt idx="5">
                  <c:v>E6</c:v>
                </c:pt>
                <c:pt idx="6">
                  <c:v>M7</c:v>
                </c:pt>
                <c:pt idx="7">
                  <c:v>E7</c:v>
                </c:pt>
                <c:pt idx="8">
                  <c:v>M8</c:v>
                </c:pt>
              </c:strCache>
            </c:strRef>
          </c:cat>
          <c:val>
            <c:numRef>
              <c:f>'Lijn-Profiel per vak'!$S$21:$S$29</c:f>
              <c:numCache>
                <c:formatCode>0%</c:formatCode>
                <c:ptCount val="9"/>
                <c:pt idx="0">
                  <c:v>0.875</c:v>
                </c:pt>
                <c:pt idx="1">
                  <c:v>0.75</c:v>
                </c:pt>
                <c:pt idx="2">
                  <c:v>0.65</c:v>
                </c:pt>
                <c:pt idx="3">
                  <c:v>0.85</c:v>
                </c:pt>
                <c:pt idx="4">
                  <c:v>0.6</c:v>
                </c:pt>
                <c:pt idx="5">
                  <c:v>0</c:v>
                </c:pt>
                <c:pt idx="6">
                  <c:v>0</c:v>
                </c:pt>
                <c:pt idx="7">
                  <c:v>0</c:v>
                </c:pt>
                <c:pt idx="8">
                  <c:v>0</c:v>
                </c:pt>
              </c:numCache>
            </c:numRef>
          </c:val>
          <c:smooth val="0"/>
        </c:ser>
        <c:ser>
          <c:idx val="1"/>
          <c:order val="1"/>
          <c:tx>
            <c:strRef>
              <c:f>'Lijn-Profiel per vak'!$T$19:$T$20</c:f>
              <c:strCache>
                <c:ptCount val="2"/>
                <c:pt idx="0">
                  <c:v>HOOFDREKENEN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vak'!$R$21:$R$29</c:f>
              <c:strCache>
                <c:ptCount val="9"/>
                <c:pt idx="0">
                  <c:v>M4</c:v>
                </c:pt>
                <c:pt idx="1">
                  <c:v>E4</c:v>
                </c:pt>
                <c:pt idx="2">
                  <c:v>M5</c:v>
                </c:pt>
                <c:pt idx="3">
                  <c:v>E5</c:v>
                </c:pt>
                <c:pt idx="4">
                  <c:v>M6</c:v>
                </c:pt>
                <c:pt idx="5">
                  <c:v>E6</c:v>
                </c:pt>
                <c:pt idx="6">
                  <c:v>M7</c:v>
                </c:pt>
                <c:pt idx="7">
                  <c:v>E7</c:v>
                </c:pt>
                <c:pt idx="8">
                  <c:v>M8</c:v>
                </c:pt>
              </c:strCache>
            </c:strRef>
          </c:cat>
          <c:val>
            <c:numRef>
              <c:f>'Lijn-Profiel per vak'!$T$21:$T$29</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'Lijn-Profiel per vak'!$V$19:$V$20</c:f>
              <c:strCache>
                <c:ptCount val="2"/>
                <c:pt idx="0">
                  <c:v>HOOFDREKENEN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vak'!$R$21:$R$29</c:f>
              <c:strCache>
                <c:ptCount val="9"/>
                <c:pt idx="0">
                  <c:v>M4</c:v>
                </c:pt>
                <c:pt idx="1">
                  <c:v>E4</c:v>
                </c:pt>
                <c:pt idx="2">
                  <c:v>M5</c:v>
                </c:pt>
                <c:pt idx="3">
                  <c:v>E5</c:v>
                </c:pt>
                <c:pt idx="4">
                  <c:v>M6</c:v>
                </c:pt>
                <c:pt idx="5">
                  <c:v>E6</c:v>
                </c:pt>
                <c:pt idx="6">
                  <c:v>M7</c:v>
                </c:pt>
                <c:pt idx="7">
                  <c:v>E7</c:v>
                </c:pt>
                <c:pt idx="8">
                  <c:v>M8</c:v>
                </c:pt>
              </c:strCache>
            </c:strRef>
          </c:cat>
          <c:val>
            <c:numRef>
              <c:f>'Lijn-Profiel per vak'!$V$21:$V$29</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7365632"/>
        <c:axId val="237366024"/>
      </c:lineChart>
      <c:catAx>
        <c:axId val="2373656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7366024"/>
        <c:crossesAt val="0"/>
        <c:auto val="1"/>
        <c:lblAlgn val="ctr"/>
        <c:lblOffset val="100"/>
        <c:tickLblSkip val="1"/>
        <c:tickMarkSkip val="1"/>
        <c:noMultiLvlLbl val="0"/>
      </c:catAx>
      <c:valAx>
        <c:axId val="237366024"/>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7365632"/>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119955756403552"/>
          <c:y val="4.5563549160671464E-2"/>
          <c:w val="0.16298033176586335"/>
          <c:h val="0.422063357188265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21622547390558E-2"/>
          <c:y val="3.6855036855036855E-2"/>
          <c:w val="0.79326454665784996"/>
          <c:h val="0.84029484029484025"/>
        </c:manualLayout>
      </c:layout>
      <c:lineChart>
        <c:grouping val="standard"/>
        <c:varyColors val="0"/>
        <c:ser>
          <c:idx val="0"/>
          <c:order val="0"/>
          <c:tx>
            <c:strRef>
              <c:f>'Lijn-Profiel per vak'!$S$32:$S$33</c:f>
              <c:strCache>
                <c:ptCount val="2"/>
                <c:pt idx="0">
                  <c:v>REKENEN &amp; WISKUNDE</c:v>
                </c:pt>
                <c:pt idx="1">
                  <c:v>Opbrengst</c:v>
                </c:pt>
              </c:strCache>
            </c:strRef>
          </c:tx>
          <c:spPr>
            <a:ln w="38100">
              <a:solidFill>
                <a:srgbClr val="008000"/>
              </a:solidFill>
              <a:prstDash val="solid"/>
            </a:ln>
          </c:spPr>
          <c:marker>
            <c:symbol val="circle"/>
            <c:size val="12"/>
            <c:spPr>
              <a:solidFill>
                <a:srgbClr val="008000"/>
              </a:solidFill>
              <a:ln>
                <a:solidFill>
                  <a:srgbClr val="008000"/>
                </a:solidFill>
                <a:prstDash val="solid"/>
              </a:ln>
            </c:spPr>
          </c:marker>
          <c:cat>
            <c:strRef>
              <c:f>'Lijn-Profiel per vak'!$R$34:$R$42</c:f>
              <c:strCache>
                <c:ptCount val="9"/>
                <c:pt idx="0">
                  <c:v>M4</c:v>
                </c:pt>
                <c:pt idx="1">
                  <c:v>E4</c:v>
                </c:pt>
                <c:pt idx="2">
                  <c:v>M5</c:v>
                </c:pt>
                <c:pt idx="3">
                  <c:v>E5</c:v>
                </c:pt>
                <c:pt idx="4">
                  <c:v>M6</c:v>
                </c:pt>
                <c:pt idx="5">
                  <c:v>E6</c:v>
                </c:pt>
                <c:pt idx="6">
                  <c:v>M7</c:v>
                </c:pt>
                <c:pt idx="7">
                  <c:v>E7</c:v>
                </c:pt>
                <c:pt idx="8">
                  <c:v>M8</c:v>
                </c:pt>
              </c:strCache>
            </c:strRef>
          </c:cat>
          <c:val>
            <c:numRef>
              <c:f>'Lijn-Profiel per vak'!$S$34:$S$42</c:f>
              <c:numCache>
                <c:formatCode>0%</c:formatCode>
                <c:ptCount val="9"/>
                <c:pt idx="0">
                  <c:v>0.25</c:v>
                </c:pt>
                <c:pt idx="1">
                  <c:v>0.77500000000000002</c:v>
                </c:pt>
                <c:pt idx="2">
                  <c:v>0.25</c:v>
                </c:pt>
                <c:pt idx="3">
                  <c:v>0.6</c:v>
                </c:pt>
                <c:pt idx="4">
                  <c:v>0.4</c:v>
                </c:pt>
                <c:pt idx="5">
                  <c:v>0</c:v>
                </c:pt>
                <c:pt idx="6">
                  <c:v>0</c:v>
                </c:pt>
                <c:pt idx="7">
                  <c:v>0</c:v>
                </c:pt>
                <c:pt idx="8">
                  <c:v>0</c:v>
                </c:pt>
              </c:numCache>
            </c:numRef>
          </c:val>
          <c:smooth val="0"/>
        </c:ser>
        <c:ser>
          <c:idx val="1"/>
          <c:order val="1"/>
          <c:tx>
            <c:strRef>
              <c:f>'Lijn-Profiel per vak'!$T$32:$T$33</c:f>
              <c:strCache>
                <c:ptCount val="2"/>
                <c:pt idx="0">
                  <c:v>REKENEN &amp; WISKUNDE</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'Lijn-Profiel per vak'!$R$34:$R$42</c:f>
              <c:strCache>
                <c:ptCount val="9"/>
                <c:pt idx="0">
                  <c:v>M4</c:v>
                </c:pt>
                <c:pt idx="1">
                  <c:v>E4</c:v>
                </c:pt>
                <c:pt idx="2">
                  <c:v>M5</c:v>
                </c:pt>
                <c:pt idx="3">
                  <c:v>E5</c:v>
                </c:pt>
                <c:pt idx="4">
                  <c:v>M6</c:v>
                </c:pt>
                <c:pt idx="5">
                  <c:v>E6</c:v>
                </c:pt>
                <c:pt idx="6">
                  <c:v>M7</c:v>
                </c:pt>
                <c:pt idx="7">
                  <c:v>E7</c:v>
                </c:pt>
                <c:pt idx="8">
                  <c:v>M8</c:v>
                </c:pt>
              </c:strCache>
            </c:strRef>
          </c:cat>
          <c:val>
            <c:numRef>
              <c:f>'Lijn-Profiel per vak'!$T$34:$T$42</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'Lijn-Profiel per vak'!$V$32:$V$33</c:f>
              <c:strCache>
                <c:ptCount val="2"/>
                <c:pt idx="0">
                  <c:v>REKENEN &amp; WISKUNDE</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'Lijn-Profiel per vak'!$R$34:$R$42</c:f>
              <c:strCache>
                <c:ptCount val="9"/>
                <c:pt idx="0">
                  <c:v>M4</c:v>
                </c:pt>
                <c:pt idx="1">
                  <c:v>E4</c:v>
                </c:pt>
                <c:pt idx="2">
                  <c:v>M5</c:v>
                </c:pt>
                <c:pt idx="3">
                  <c:v>E5</c:v>
                </c:pt>
                <c:pt idx="4">
                  <c:v>M6</c:v>
                </c:pt>
                <c:pt idx="5">
                  <c:v>E6</c:v>
                </c:pt>
                <c:pt idx="6">
                  <c:v>M7</c:v>
                </c:pt>
                <c:pt idx="7">
                  <c:v>E7</c:v>
                </c:pt>
                <c:pt idx="8">
                  <c:v>M8</c:v>
                </c:pt>
              </c:strCache>
            </c:strRef>
          </c:cat>
          <c:val>
            <c:numRef>
              <c:f>'Lijn-Profiel per vak'!$V$34:$V$42</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8857176"/>
        <c:axId val="238857568"/>
      </c:lineChart>
      <c:catAx>
        <c:axId val="2388571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857568"/>
        <c:crossesAt val="0"/>
        <c:auto val="1"/>
        <c:lblAlgn val="ctr"/>
        <c:lblOffset val="100"/>
        <c:tickLblSkip val="1"/>
        <c:tickMarkSkip val="1"/>
        <c:noMultiLvlLbl val="0"/>
      </c:catAx>
      <c:valAx>
        <c:axId val="238857568"/>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857176"/>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2810782798491644"/>
          <c:y val="4.6683046683046681E-2"/>
          <c:w val="0.16724763063153691"/>
          <c:h val="0.4127764127764127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216224776301084E-2"/>
          <c:y val="3.6764793880193686E-2"/>
          <c:w val="0.80540583055628723"/>
          <c:h val="0.84068828672709561"/>
        </c:manualLayout>
      </c:layout>
      <c:barChart>
        <c:barDir val="col"/>
        <c:grouping val="clustered"/>
        <c:varyColors val="0"/>
        <c:ser>
          <c:idx val="0"/>
          <c:order val="0"/>
          <c:tx>
            <c:strRef>
              <c:f>'Staaf-Profiel per vak'!$J$7:$J$8</c:f>
              <c:strCache>
                <c:ptCount val="2"/>
                <c:pt idx="0">
                  <c:v>TOTAAL</c:v>
                </c:pt>
                <c:pt idx="1">
                  <c:v>Opbrengst</c:v>
                </c:pt>
              </c:strCache>
            </c:strRef>
          </c:tx>
          <c:spPr>
            <a:gradFill rotWithShape="0">
              <a:gsLst>
                <a:gs pos="0">
                  <a:srgbClr val="008000"/>
                </a:gs>
                <a:gs pos="50000">
                  <a:srgbClr val="00FF00"/>
                </a:gs>
                <a:gs pos="100000">
                  <a:srgbClr val="008000"/>
                </a:gs>
              </a:gsLst>
              <a:lin ang="0" scaled="1"/>
            </a:gradFill>
            <a:ln w="12700">
              <a:solidFill>
                <a:srgbClr val="666699"/>
              </a:solidFill>
              <a:prstDash val="solid"/>
            </a:ln>
          </c:spPr>
          <c:invertIfNegative val="0"/>
          <c:cat>
            <c:strRef>
              <c:f>'Staaf-Profiel per vak'!$I$9:$I$17</c:f>
              <c:strCache>
                <c:ptCount val="9"/>
                <c:pt idx="0">
                  <c:v>M4</c:v>
                </c:pt>
                <c:pt idx="1">
                  <c:v>E4</c:v>
                </c:pt>
                <c:pt idx="2">
                  <c:v>M5</c:v>
                </c:pt>
                <c:pt idx="3">
                  <c:v>E5</c:v>
                </c:pt>
                <c:pt idx="4">
                  <c:v>M6</c:v>
                </c:pt>
                <c:pt idx="5">
                  <c:v>E6</c:v>
                </c:pt>
                <c:pt idx="6">
                  <c:v>M7</c:v>
                </c:pt>
                <c:pt idx="7">
                  <c:v>E7</c:v>
                </c:pt>
                <c:pt idx="8">
                  <c:v>M8</c:v>
                </c:pt>
              </c:strCache>
            </c:strRef>
          </c:cat>
          <c:val>
            <c:numRef>
              <c:f>'Staaf-Profiel per vak'!$J$9:$J$17</c:f>
              <c:numCache>
                <c:formatCode>0%</c:formatCode>
                <c:ptCount val="9"/>
                <c:pt idx="0">
                  <c:v>0.62083333333333335</c:v>
                </c:pt>
                <c:pt idx="1">
                  <c:v>0.72499999999999998</c:v>
                </c:pt>
                <c:pt idx="2">
                  <c:v>0.53749999999999998</c:v>
                </c:pt>
                <c:pt idx="3">
                  <c:v>0.65</c:v>
                </c:pt>
                <c:pt idx="4">
                  <c:v>0.5625</c:v>
                </c:pt>
                <c:pt idx="5">
                  <c:v>0</c:v>
                </c:pt>
                <c:pt idx="6">
                  <c:v>0</c:v>
                </c:pt>
                <c:pt idx="7">
                  <c:v>0</c:v>
                </c:pt>
                <c:pt idx="8">
                  <c:v>0</c:v>
                </c:pt>
              </c:numCache>
            </c:numRef>
          </c:val>
        </c:ser>
        <c:dLbls>
          <c:showLegendKey val="0"/>
          <c:showVal val="0"/>
          <c:showCatName val="0"/>
          <c:showSerName val="0"/>
          <c:showPercent val="0"/>
          <c:showBubbleSize val="0"/>
        </c:dLbls>
        <c:gapWidth val="50"/>
        <c:axId val="238858352"/>
        <c:axId val="238858744"/>
      </c:barChart>
      <c:lineChart>
        <c:grouping val="standard"/>
        <c:varyColors val="0"/>
        <c:ser>
          <c:idx val="1"/>
          <c:order val="1"/>
          <c:tx>
            <c:strRef>
              <c:f>'Staaf-Profiel per vak'!$K$7:$K$8</c:f>
              <c:strCache>
                <c:ptCount val="2"/>
                <c:pt idx="0">
                  <c:v>TOTAAL</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vak'!$I$9:$I$17</c:f>
              <c:strCache>
                <c:ptCount val="9"/>
                <c:pt idx="0">
                  <c:v>M4</c:v>
                </c:pt>
                <c:pt idx="1">
                  <c:v>E4</c:v>
                </c:pt>
                <c:pt idx="2">
                  <c:v>M5</c:v>
                </c:pt>
                <c:pt idx="3">
                  <c:v>E5</c:v>
                </c:pt>
                <c:pt idx="4">
                  <c:v>M6</c:v>
                </c:pt>
                <c:pt idx="5">
                  <c:v>E6</c:v>
                </c:pt>
                <c:pt idx="6">
                  <c:v>M7</c:v>
                </c:pt>
                <c:pt idx="7">
                  <c:v>E7</c:v>
                </c:pt>
                <c:pt idx="8">
                  <c:v>M8</c:v>
                </c:pt>
              </c:strCache>
            </c:strRef>
          </c:cat>
          <c:val>
            <c:numRef>
              <c:f>'Staaf-Profiel per vak'!$K$9:$K$17</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'Staaf-Profiel per vak'!$L$7:$L$8</c:f>
              <c:strCache>
                <c:ptCount val="2"/>
                <c:pt idx="0">
                  <c:v>TOTAAL</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vak'!$I$9:$I$17</c:f>
              <c:strCache>
                <c:ptCount val="9"/>
                <c:pt idx="0">
                  <c:v>M4</c:v>
                </c:pt>
                <c:pt idx="1">
                  <c:v>E4</c:v>
                </c:pt>
                <c:pt idx="2">
                  <c:v>M5</c:v>
                </c:pt>
                <c:pt idx="3">
                  <c:v>E5</c:v>
                </c:pt>
                <c:pt idx="4">
                  <c:v>M6</c:v>
                </c:pt>
                <c:pt idx="5">
                  <c:v>E6</c:v>
                </c:pt>
                <c:pt idx="6">
                  <c:v>M7</c:v>
                </c:pt>
                <c:pt idx="7">
                  <c:v>E7</c:v>
                </c:pt>
                <c:pt idx="8">
                  <c:v>M8</c:v>
                </c:pt>
              </c:strCache>
            </c:strRef>
          </c:cat>
          <c:val>
            <c:numRef>
              <c:f>'Staaf-Profiel per vak'!$L$9:$L$17</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8858352"/>
        <c:axId val="238858744"/>
      </c:lineChart>
      <c:catAx>
        <c:axId val="2388583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858744"/>
        <c:crossesAt val="0"/>
        <c:auto val="1"/>
        <c:lblAlgn val="ctr"/>
        <c:lblOffset val="100"/>
        <c:tickLblSkip val="1"/>
        <c:tickMarkSkip val="1"/>
        <c:noMultiLvlLbl val="0"/>
      </c:catAx>
      <c:valAx>
        <c:axId val="238858744"/>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858352"/>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675721075406118"/>
          <c:y val="4.1666666666666664E-2"/>
          <c:w val="0.15135146485067741"/>
          <c:h val="0.3333341052956616"/>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163801608277212E-2"/>
          <c:y val="3.5971307261941844E-2"/>
          <c:w val="0.80819008041386065"/>
          <c:h val="0.84412667708023525"/>
        </c:manualLayout>
      </c:layout>
      <c:barChart>
        <c:barDir val="col"/>
        <c:grouping val="clustered"/>
        <c:varyColors val="0"/>
        <c:ser>
          <c:idx val="0"/>
          <c:order val="0"/>
          <c:tx>
            <c:strRef>
              <c:f>'Staaf-Profiel per vak'!$J$19:$J$20</c:f>
              <c:strCache>
                <c:ptCount val="2"/>
                <c:pt idx="0">
                  <c:v>WOORDEN LEZEN</c:v>
                </c:pt>
                <c:pt idx="1">
                  <c:v>Opbrengst</c:v>
                </c:pt>
              </c:strCache>
            </c:strRef>
          </c:tx>
          <c:spPr>
            <a:gradFill flip="none" rotWithShape="1">
              <a:gsLst>
                <a:gs pos="0">
                  <a:srgbClr val="008000"/>
                </a:gs>
                <a:gs pos="50000">
                  <a:srgbClr val="00FF00"/>
                </a:gs>
                <a:gs pos="100000">
                  <a:srgbClr val="008000"/>
                </a:gs>
              </a:gsLst>
              <a:lin ang="0" scaled="1"/>
              <a:tileRect/>
            </a:gradFill>
          </c:spPr>
          <c:invertIfNegative val="0"/>
          <c:cat>
            <c:strRef>
              <c:f>'Staaf-Profiel per vak'!$I$21:$I$29</c:f>
              <c:strCache>
                <c:ptCount val="9"/>
                <c:pt idx="0">
                  <c:v>M4</c:v>
                </c:pt>
                <c:pt idx="1">
                  <c:v>E4</c:v>
                </c:pt>
                <c:pt idx="2">
                  <c:v>M5</c:v>
                </c:pt>
                <c:pt idx="3">
                  <c:v>E5</c:v>
                </c:pt>
                <c:pt idx="4">
                  <c:v>M6</c:v>
                </c:pt>
                <c:pt idx="5">
                  <c:v>E6</c:v>
                </c:pt>
                <c:pt idx="6">
                  <c:v>M7</c:v>
                </c:pt>
                <c:pt idx="7">
                  <c:v>E7</c:v>
                </c:pt>
                <c:pt idx="8">
                  <c:v>M8</c:v>
                </c:pt>
              </c:strCache>
            </c:strRef>
          </c:cat>
          <c:val>
            <c:numRef>
              <c:f>'Staaf-Profiel per vak'!$J$21:$J$29</c:f>
              <c:numCache>
                <c:formatCode>0%</c:formatCode>
                <c:ptCount val="9"/>
                <c:pt idx="0">
                  <c:v>0.625</c:v>
                </c:pt>
                <c:pt idx="1">
                  <c:v>0.57499999999999996</c:v>
                </c:pt>
                <c:pt idx="2">
                  <c:v>0.625</c:v>
                </c:pt>
                <c:pt idx="3">
                  <c:v>0.625</c:v>
                </c:pt>
                <c:pt idx="4">
                  <c:v>0.72499999999999998</c:v>
                </c:pt>
                <c:pt idx="5">
                  <c:v>0</c:v>
                </c:pt>
                <c:pt idx="6">
                  <c:v>0</c:v>
                </c:pt>
                <c:pt idx="7">
                  <c:v>0</c:v>
                </c:pt>
                <c:pt idx="8">
                  <c:v>0</c:v>
                </c:pt>
              </c:numCache>
            </c:numRef>
          </c:val>
        </c:ser>
        <c:dLbls>
          <c:showLegendKey val="0"/>
          <c:showVal val="0"/>
          <c:showCatName val="0"/>
          <c:showSerName val="0"/>
          <c:showPercent val="0"/>
          <c:showBubbleSize val="0"/>
        </c:dLbls>
        <c:gapWidth val="50"/>
        <c:axId val="238859528"/>
        <c:axId val="238859920"/>
      </c:barChart>
      <c:lineChart>
        <c:grouping val="standard"/>
        <c:varyColors val="0"/>
        <c:ser>
          <c:idx val="1"/>
          <c:order val="1"/>
          <c:tx>
            <c:strRef>
              <c:f>'Staaf-Profiel per vak'!$K$19:$K$20</c:f>
              <c:strCache>
                <c:ptCount val="2"/>
                <c:pt idx="0">
                  <c:v>WOORDEN LEZEN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vak'!$I$21:$I$29</c:f>
              <c:strCache>
                <c:ptCount val="9"/>
                <c:pt idx="0">
                  <c:v>M4</c:v>
                </c:pt>
                <c:pt idx="1">
                  <c:v>E4</c:v>
                </c:pt>
                <c:pt idx="2">
                  <c:v>M5</c:v>
                </c:pt>
                <c:pt idx="3">
                  <c:v>E5</c:v>
                </c:pt>
                <c:pt idx="4">
                  <c:v>M6</c:v>
                </c:pt>
                <c:pt idx="5">
                  <c:v>E6</c:v>
                </c:pt>
                <c:pt idx="6">
                  <c:v>M7</c:v>
                </c:pt>
                <c:pt idx="7">
                  <c:v>E7</c:v>
                </c:pt>
                <c:pt idx="8">
                  <c:v>M8</c:v>
                </c:pt>
              </c:strCache>
            </c:strRef>
          </c:cat>
          <c:val>
            <c:numRef>
              <c:f>'Staaf-Profiel per vak'!$K$21:$K$29</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'Staaf-Profiel per vak'!$L$19:$L$20</c:f>
              <c:strCache>
                <c:ptCount val="2"/>
                <c:pt idx="0">
                  <c:v>WOORDEN LEZEN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vak'!$I$21:$I$29</c:f>
              <c:strCache>
                <c:ptCount val="9"/>
                <c:pt idx="0">
                  <c:v>M4</c:v>
                </c:pt>
                <c:pt idx="1">
                  <c:v>E4</c:v>
                </c:pt>
                <c:pt idx="2">
                  <c:v>M5</c:v>
                </c:pt>
                <c:pt idx="3">
                  <c:v>E5</c:v>
                </c:pt>
                <c:pt idx="4">
                  <c:v>M6</c:v>
                </c:pt>
                <c:pt idx="5">
                  <c:v>E6</c:v>
                </c:pt>
                <c:pt idx="6">
                  <c:v>M7</c:v>
                </c:pt>
                <c:pt idx="7">
                  <c:v>E7</c:v>
                </c:pt>
                <c:pt idx="8">
                  <c:v>M8</c:v>
                </c:pt>
              </c:strCache>
            </c:strRef>
          </c:cat>
          <c:val>
            <c:numRef>
              <c:f>'Staaf-Profiel per vak'!$L$21:$L$29</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8859528"/>
        <c:axId val="238859920"/>
      </c:lineChart>
      <c:catAx>
        <c:axId val="238859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859920"/>
        <c:crossesAt val="0"/>
        <c:auto val="1"/>
        <c:lblAlgn val="ctr"/>
        <c:lblOffset val="100"/>
        <c:tickLblSkip val="1"/>
        <c:tickMarkSkip val="1"/>
        <c:noMultiLvlLbl val="0"/>
      </c:catAx>
      <c:valAx>
        <c:axId val="238859920"/>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859528"/>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512976287446827"/>
          <c:y val="5.0359712230215826E-2"/>
          <c:w val="0.15625011313241011"/>
          <c:h val="0.422063357188265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163801608277212E-2"/>
          <c:y val="3.6764793880193686E-2"/>
          <c:w val="0.81357801428328635"/>
          <c:h val="0.84068828672709561"/>
        </c:manualLayout>
      </c:layout>
      <c:barChart>
        <c:barDir val="col"/>
        <c:grouping val="clustered"/>
        <c:varyColors val="0"/>
        <c:ser>
          <c:idx val="0"/>
          <c:order val="0"/>
          <c:tx>
            <c:strRef>
              <c:f>'Staaf-Profiel per vak'!$J$32:$J$33</c:f>
              <c:strCache>
                <c:ptCount val="2"/>
                <c:pt idx="0">
                  <c:v>BEGR. LEZEN</c:v>
                </c:pt>
                <c:pt idx="1">
                  <c:v>Opbrengst</c:v>
                </c:pt>
              </c:strCache>
            </c:strRef>
          </c:tx>
          <c:spPr>
            <a:gradFill>
              <a:gsLst>
                <a:gs pos="0">
                  <a:srgbClr val="008000"/>
                </a:gs>
                <a:gs pos="50000">
                  <a:srgbClr val="00FF00"/>
                </a:gs>
                <a:gs pos="100000">
                  <a:srgbClr val="008000"/>
                </a:gs>
              </a:gsLst>
              <a:lin ang="0" scaled="1"/>
            </a:gradFill>
          </c:spPr>
          <c:invertIfNegative val="0"/>
          <c:cat>
            <c:strRef>
              <c:f>'Staaf-Profiel per vak'!$I$34:$I$42</c:f>
              <c:strCache>
                <c:ptCount val="9"/>
                <c:pt idx="0">
                  <c:v>M4</c:v>
                </c:pt>
                <c:pt idx="1">
                  <c:v>E4</c:v>
                </c:pt>
                <c:pt idx="2">
                  <c:v>M5</c:v>
                </c:pt>
                <c:pt idx="3">
                  <c:v>E5</c:v>
                </c:pt>
                <c:pt idx="4">
                  <c:v>M6</c:v>
                </c:pt>
                <c:pt idx="5">
                  <c:v>E6</c:v>
                </c:pt>
                <c:pt idx="6">
                  <c:v>M7</c:v>
                </c:pt>
                <c:pt idx="7">
                  <c:v>E7</c:v>
                </c:pt>
                <c:pt idx="8">
                  <c:v>M8</c:v>
                </c:pt>
              </c:strCache>
            </c:strRef>
          </c:cat>
          <c:val>
            <c:numRef>
              <c:f>'Staaf-Profiel per vak'!$J$34:$J$42</c:f>
              <c:numCache>
                <c:formatCode>0%</c:formatCode>
                <c:ptCount val="9"/>
                <c:pt idx="0">
                  <c:v>0.77500000000000002</c:v>
                </c:pt>
                <c:pt idx="1">
                  <c:v>0.72499999999999998</c:v>
                </c:pt>
                <c:pt idx="2">
                  <c:v>0.8</c:v>
                </c:pt>
                <c:pt idx="3">
                  <c:v>0.67500000000000016</c:v>
                </c:pt>
                <c:pt idx="4">
                  <c:v>0.55000000000000004</c:v>
                </c:pt>
                <c:pt idx="5">
                  <c:v>0</c:v>
                </c:pt>
                <c:pt idx="6">
                  <c:v>0</c:v>
                </c:pt>
                <c:pt idx="7">
                  <c:v>0</c:v>
                </c:pt>
                <c:pt idx="8">
                  <c:v>0</c:v>
                </c:pt>
              </c:numCache>
            </c:numRef>
          </c:val>
        </c:ser>
        <c:dLbls>
          <c:showLegendKey val="0"/>
          <c:showVal val="0"/>
          <c:showCatName val="0"/>
          <c:showSerName val="0"/>
          <c:showPercent val="0"/>
          <c:showBubbleSize val="0"/>
        </c:dLbls>
        <c:gapWidth val="50"/>
        <c:axId val="238860704"/>
        <c:axId val="238861096"/>
      </c:barChart>
      <c:lineChart>
        <c:grouping val="standard"/>
        <c:varyColors val="0"/>
        <c:ser>
          <c:idx val="1"/>
          <c:order val="1"/>
          <c:tx>
            <c:strRef>
              <c:f>'Staaf-Profiel per vak'!$K$32:$K$33</c:f>
              <c:strCache>
                <c:ptCount val="2"/>
                <c:pt idx="0">
                  <c:v>BEGR. LEZEN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vak'!$I$34:$I$42</c:f>
              <c:strCache>
                <c:ptCount val="9"/>
                <c:pt idx="0">
                  <c:v>M4</c:v>
                </c:pt>
                <c:pt idx="1">
                  <c:v>E4</c:v>
                </c:pt>
                <c:pt idx="2">
                  <c:v>M5</c:v>
                </c:pt>
                <c:pt idx="3">
                  <c:v>E5</c:v>
                </c:pt>
                <c:pt idx="4">
                  <c:v>M6</c:v>
                </c:pt>
                <c:pt idx="5">
                  <c:v>E6</c:v>
                </c:pt>
                <c:pt idx="6">
                  <c:v>M7</c:v>
                </c:pt>
                <c:pt idx="7">
                  <c:v>E7</c:v>
                </c:pt>
                <c:pt idx="8">
                  <c:v>M8</c:v>
                </c:pt>
              </c:strCache>
            </c:strRef>
          </c:cat>
          <c:val>
            <c:numRef>
              <c:f>'Staaf-Profiel per vak'!$K$34:$K$42</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'Staaf-Profiel per vak'!$L$32:$L$33</c:f>
              <c:strCache>
                <c:ptCount val="2"/>
                <c:pt idx="0">
                  <c:v>BEGR. LEZEN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vak'!$I$34:$I$42</c:f>
              <c:strCache>
                <c:ptCount val="9"/>
                <c:pt idx="0">
                  <c:v>M4</c:v>
                </c:pt>
                <c:pt idx="1">
                  <c:v>E4</c:v>
                </c:pt>
                <c:pt idx="2">
                  <c:v>M5</c:v>
                </c:pt>
                <c:pt idx="3">
                  <c:v>E5</c:v>
                </c:pt>
                <c:pt idx="4">
                  <c:v>M6</c:v>
                </c:pt>
                <c:pt idx="5">
                  <c:v>E6</c:v>
                </c:pt>
                <c:pt idx="6">
                  <c:v>M7</c:v>
                </c:pt>
                <c:pt idx="7">
                  <c:v>E7</c:v>
                </c:pt>
                <c:pt idx="8">
                  <c:v>M8</c:v>
                </c:pt>
              </c:strCache>
            </c:strRef>
          </c:cat>
          <c:val>
            <c:numRef>
              <c:f>'Staaf-Profiel per vak'!$L$34:$L$42</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8860704"/>
        <c:axId val="238861096"/>
      </c:lineChart>
      <c:catAx>
        <c:axId val="2388607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861096"/>
        <c:crossesAt val="0"/>
        <c:auto val="1"/>
        <c:lblAlgn val="ctr"/>
        <c:lblOffset val="100"/>
        <c:tickLblSkip val="1"/>
        <c:tickMarkSkip val="1"/>
        <c:noMultiLvlLbl val="0"/>
      </c:catAx>
      <c:valAx>
        <c:axId val="238861096"/>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860704"/>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4142485425567759"/>
          <c:y val="4.6568627450980393E-2"/>
          <c:w val="0.14994617582187342"/>
          <c:h val="0.4142167155576141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201834862385322E-2"/>
          <c:y val="3.6764793880193686E-2"/>
          <c:w val="0.80160550458715596"/>
          <c:h val="0.84068828672709561"/>
        </c:manualLayout>
      </c:layout>
      <c:barChart>
        <c:barDir val="col"/>
        <c:grouping val="clustered"/>
        <c:varyColors val="0"/>
        <c:ser>
          <c:idx val="0"/>
          <c:order val="0"/>
          <c:tx>
            <c:strRef>
              <c:f>'Staaf-Profiel per vak'!$S$7:$S$8</c:f>
              <c:strCache>
                <c:ptCount val="2"/>
                <c:pt idx="0">
                  <c:v>SPELLING</c:v>
                </c:pt>
                <c:pt idx="1">
                  <c:v>Opbrengst</c:v>
                </c:pt>
              </c:strCache>
            </c:strRef>
          </c:tx>
          <c:spPr>
            <a:gradFill>
              <a:gsLst>
                <a:gs pos="0">
                  <a:srgbClr val="008000"/>
                </a:gs>
                <a:gs pos="50000">
                  <a:srgbClr val="00FF00"/>
                </a:gs>
                <a:gs pos="100000">
                  <a:srgbClr val="008000"/>
                </a:gs>
              </a:gsLst>
              <a:lin ang="0" scaled="1"/>
            </a:gradFill>
          </c:spPr>
          <c:invertIfNegative val="0"/>
          <c:cat>
            <c:strRef>
              <c:f>'Staaf-Profiel per vak'!$R$9:$R$17</c:f>
              <c:strCache>
                <c:ptCount val="9"/>
                <c:pt idx="0">
                  <c:v>M4</c:v>
                </c:pt>
                <c:pt idx="1">
                  <c:v>E4</c:v>
                </c:pt>
                <c:pt idx="2">
                  <c:v>M5</c:v>
                </c:pt>
                <c:pt idx="3">
                  <c:v>E5</c:v>
                </c:pt>
                <c:pt idx="4">
                  <c:v>M6</c:v>
                </c:pt>
                <c:pt idx="5">
                  <c:v>E6</c:v>
                </c:pt>
                <c:pt idx="6">
                  <c:v>M7</c:v>
                </c:pt>
                <c:pt idx="7">
                  <c:v>E7</c:v>
                </c:pt>
                <c:pt idx="8">
                  <c:v>M8</c:v>
                </c:pt>
              </c:strCache>
            </c:strRef>
          </c:cat>
          <c:val>
            <c:numRef>
              <c:f>'Staaf-Profiel per vak'!$S$9:$S$17</c:f>
              <c:numCache>
                <c:formatCode>0%</c:formatCode>
                <c:ptCount val="9"/>
                <c:pt idx="0">
                  <c:v>0.7</c:v>
                </c:pt>
                <c:pt idx="1">
                  <c:v>0.92500000000000004</c:v>
                </c:pt>
                <c:pt idx="2">
                  <c:v>0.75</c:v>
                </c:pt>
                <c:pt idx="3">
                  <c:v>0.55000000000000004</c:v>
                </c:pt>
                <c:pt idx="4">
                  <c:v>0.65</c:v>
                </c:pt>
                <c:pt idx="5">
                  <c:v>0</c:v>
                </c:pt>
                <c:pt idx="6">
                  <c:v>0</c:v>
                </c:pt>
                <c:pt idx="7">
                  <c:v>0</c:v>
                </c:pt>
                <c:pt idx="8">
                  <c:v>0</c:v>
                </c:pt>
              </c:numCache>
            </c:numRef>
          </c:val>
        </c:ser>
        <c:dLbls>
          <c:showLegendKey val="0"/>
          <c:showVal val="0"/>
          <c:showCatName val="0"/>
          <c:showSerName val="0"/>
          <c:showPercent val="0"/>
          <c:showBubbleSize val="0"/>
        </c:dLbls>
        <c:gapWidth val="50"/>
        <c:axId val="238861880"/>
        <c:axId val="238862272"/>
      </c:barChart>
      <c:lineChart>
        <c:grouping val="standard"/>
        <c:varyColors val="0"/>
        <c:ser>
          <c:idx val="1"/>
          <c:order val="1"/>
          <c:tx>
            <c:strRef>
              <c:f>'Staaf-Profiel per vak'!$T$7:$T$8</c:f>
              <c:strCache>
                <c:ptCount val="2"/>
                <c:pt idx="0">
                  <c:v>SPELLING</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vak'!$R$9:$R$17</c:f>
              <c:strCache>
                <c:ptCount val="9"/>
                <c:pt idx="0">
                  <c:v>M4</c:v>
                </c:pt>
                <c:pt idx="1">
                  <c:v>E4</c:v>
                </c:pt>
                <c:pt idx="2">
                  <c:v>M5</c:v>
                </c:pt>
                <c:pt idx="3">
                  <c:v>E5</c:v>
                </c:pt>
                <c:pt idx="4">
                  <c:v>M6</c:v>
                </c:pt>
                <c:pt idx="5">
                  <c:v>E6</c:v>
                </c:pt>
                <c:pt idx="6">
                  <c:v>M7</c:v>
                </c:pt>
                <c:pt idx="7">
                  <c:v>E7</c:v>
                </c:pt>
                <c:pt idx="8">
                  <c:v>M8</c:v>
                </c:pt>
              </c:strCache>
            </c:strRef>
          </c:cat>
          <c:val>
            <c:numRef>
              <c:f>'Staaf-Profiel per vak'!$T$9:$T$17</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'Staaf-Profiel per vak'!$V$7:$V$8</c:f>
              <c:strCache>
                <c:ptCount val="2"/>
                <c:pt idx="0">
                  <c:v>SPELLING</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vak'!$R$9:$R$17</c:f>
              <c:strCache>
                <c:ptCount val="9"/>
                <c:pt idx="0">
                  <c:v>M4</c:v>
                </c:pt>
                <c:pt idx="1">
                  <c:v>E4</c:v>
                </c:pt>
                <c:pt idx="2">
                  <c:v>M5</c:v>
                </c:pt>
                <c:pt idx="3">
                  <c:v>E5</c:v>
                </c:pt>
                <c:pt idx="4">
                  <c:v>M6</c:v>
                </c:pt>
                <c:pt idx="5">
                  <c:v>E6</c:v>
                </c:pt>
                <c:pt idx="6">
                  <c:v>M7</c:v>
                </c:pt>
                <c:pt idx="7">
                  <c:v>E7</c:v>
                </c:pt>
                <c:pt idx="8">
                  <c:v>M8</c:v>
                </c:pt>
              </c:strCache>
            </c:strRef>
          </c:cat>
          <c:val>
            <c:numRef>
              <c:f>'Staaf-Profiel per vak'!$V$9:$V$17</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8861880"/>
        <c:axId val="238862272"/>
      </c:lineChart>
      <c:catAx>
        <c:axId val="2388618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862272"/>
        <c:crossesAt val="0"/>
        <c:auto val="1"/>
        <c:lblAlgn val="ctr"/>
        <c:lblOffset val="100"/>
        <c:tickLblSkip val="1"/>
        <c:tickMarkSkip val="1"/>
        <c:noMultiLvlLbl val="0"/>
      </c:catAx>
      <c:valAx>
        <c:axId val="23886227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861880"/>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178703010151567"/>
          <c:y val="3.6764705882352942E-2"/>
          <c:w val="0.16125302202653902"/>
          <c:h val="0.41421671555761413"/>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62175234520084E-2"/>
          <c:y val="3.5971307261941844E-2"/>
          <c:w val="0.79627519069411579"/>
          <c:h val="0.84412667708023525"/>
        </c:manualLayout>
      </c:layout>
      <c:barChart>
        <c:barDir val="col"/>
        <c:grouping val="clustered"/>
        <c:varyColors val="0"/>
        <c:ser>
          <c:idx val="0"/>
          <c:order val="0"/>
          <c:tx>
            <c:strRef>
              <c:f>'Staaf-Profiel per vak'!$S$19:$S$20</c:f>
              <c:strCache>
                <c:ptCount val="2"/>
                <c:pt idx="0">
                  <c:v>HOOFDREKENEN</c:v>
                </c:pt>
                <c:pt idx="1">
                  <c:v>Opbrengst</c:v>
                </c:pt>
              </c:strCache>
            </c:strRef>
          </c:tx>
          <c:spPr>
            <a:gradFill>
              <a:gsLst>
                <a:gs pos="0">
                  <a:srgbClr val="008000"/>
                </a:gs>
                <a:gs pos="50000">
                  <a:srgbClr val="00FF00"/>
                </a:gs>
                <a:gs pos="100000">
                  <a:srgbClr val="008000"/>
                </a:gs>
              </a:gsLst>
              <a:lin ang="0" scaled="1"/>
            </a:gradFill>
          </c:spPr>
          <c:invertIfNegative val="0"/>
          <c:cat>
            <c:strRef>
              <c:f>'Staaf-Profiel per vak'!$R$21:$R$29</c:f>
              <c:strCache>
                <c:ptCount val="9"/>
                <c:pt idx="0">
                  <c:v>M4</c:v>
                </c:pt>
                <c:pt idx="1">
                  <c:v>E4</c:v>
                </c:pt>
                <c:pt idx="2">
                  <c:v>M5</c:v>
                </c:pt>
                <c:pt idx="3">
                  <c:v>E5</c:v>
                </c:pt>
                <c:pt idx="4">
                  <c:v>M6</c:v>
                </c:pt>
                <c:pt idx="5">
                  <c:v>E6</c:v>
                </c:pt>
                <c:pt idx="6">
                  <c:v>M7</c:v>
                </c:pt>
                <c:pt idx="7">
                  <c:v>E7</c:v>
                </c:pt>
                <c:pt idx="8">
                  <c:v>M8</c:v>
                </c:pt>
              </c:strCache>
            </c:strRef>
          </c:cat>
          <c:val>
            <c:numRef>
              <c:f>'Staaf-Profiel per vak'!$S$21:$S$29</c:f>
              <c:numCache>
                <c:formatCode>0%</c:formatCode>
                <c:ptCount val="9"/>
                <c:pt idx="0">
                  <c:v>0.875</c:v>
                </c:pt>
                <c:pt idx="1">
                  <c:v>0.75</c:v>
                </c:pt>
                <c:pt idx="2">
                  <c:v>0.65</c:v>
                </c:pt>
                <c:pt idx="3">
                  <c:v>0.85</c:v>
                </c:pt>
                <c:pt idx="4">
                  <c:v>0.6</c:v>
                </c:pt>
                <c:pt idx="5">
                  <c:v>0</c:v>
                </c:pt>
                <c:pt idx="6">
                  <c:v>0</c:v>
                </c:pt>
                <c:pt idx="7">
                  <c:v>0</c:v>
                </c:pt>
                <c:pt idx="8">
                  <c:v>0</c:v>
                </c:pt>
              </c:numCache>
            </c:numRef>
          </c:val>
        </c:ser>
        <c:dLbls>
          <c:showLegendKey val="0"/>
          <c:showVal val="0"/>
          <c:showCatName val="0"/>
          <c:showSerName val="0"/>
          <c:showPercent val="0"/>
          <c:showBubbleSize val="0"/>
        </c:dLbls>
        <c:gapWidth val="50"/>
        <c:axId val="238863056"/>
        <c:axId val="238863448"/>
      </c:barChart>
      <c:lineChart>
        <c:grouping val="standard"/>
        <c:varyColors val="0"/>
        <c:ser>
          <c:idx val="1"/>
          <c:order val="1"/>
          <c:tx>
            <c:strRef>
              <c:f>'Staaf-Profiel per vak'!$T$19:$T$20</c:f>
              <c:strCache>
                <c:ptCount val="2"/>
                <c:pt idx="0">
                  <c:v>HOOFDREKENEN</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vak'!$R$21:$R$29</c:f>
              <c:strCache>
                <c:ptCount val="9"/>
                <c:pt idx="0">
                  <c:v>M4</c:v>
                </c:pt>
                <c:pt idx="1">
                  <c:v>E4</c:v>
                </c:pt>
                <c:pt idx="2">
                  <c:v>M5</c:v>
                </c:pt>
                <c:pt idx="3">
                  <c:v>E5</c:v>
                </c:pt>
                <c:pt idx="4">
                  <c:v>M6</c:v>
                </c:pt>
                <c:pt idx="5">
                  <c:v>E6</c:v>
                </c:pt>
                <c:pt idx="6">
                  <c:v>M7</c:v>
                </c:pt>
                <c:pt idx="7">
                  <c:v>E7</c:v>
                </c:pt>
                <c:pt idx="8">
                  <c:v>M8</c:v>
                </c:pt>
              </c:strCache>
            </c:strRef>
          </c:cat>
          <c:val>
            <c:numRef>
              <c:f>'Staaf-Profiel per vak'!$T$21:$T$29</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'Staaf-Profiel per vak'!$V$19:$V$20</c:f>
              <c:strCache>
                <c:ptCount val="2"/>
                <c:pt idx="0">
                  <c:v>HOOFDREKENEN</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vak'!$R$21:$R$29</c:f>
              <c:strCache>
                <c:ptCount val="9"/>
                <c:pt idx="0">
                  <c:v>M4</c:v>
                </c:pt>
                <c:pt idx="1">
                  <c:v>E4</c:v>
                </c:pt>
                <c:pt idx="2">
                  <c:v>M5</c:v>
                </c:pt>
                <c:pt idx="3">
                  <c:v>E5</c:v>
                </c:pt>
                <c:pt idx="4">
                  <c:v>M6</c:v>
                </c:pt>
                <c:pt idx="5">
                  <c:v>E6</c:v>
                </c:pt>
                <c:pt idx="6">
                  <c:v>M7</c:v>
                </c:pt>
                <c:pt idx="7">
                  <c:v>E7</c:v>
                </c:pt>
                <c:pt idx="8">
                  <c:v>M8</c:v>
                </c:pt>
              </c:strCache>
            </c:strRef>
          </c:cat>
          <c:val>
            <c:numRef>
              <c:f>'Staaf-Profiel per vak'!$V$21:$V$29</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8863056"/>
        <c:axId val="238863448"/>
      </c:lineChart>
      <c:catAx>
        <c:axId val="2388630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863448"/>
        <c:crossesAt val="0"/>
        <c:auto val="1"/>
        <c:lblAlgn val="ctr"/>
        <c:lblOffset val="100"/>
        <c:tickLblSkip val="1"/>
        <c:tickMarkSkip val="1"/>
        <c:noMultiLvlLbl val="0"/>
      </c:catAx>
      <c:valAx>
        <c:axId val="238863448"/>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863056"/>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3236370191793541"/>
          <c:y val="4.5563549160671464E-2"/>
          <c:w val="0.16298033176586335"/>
          <c:h val="0.4220633571882651"/>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21622547390558E-2"/>
          <c:y val="3.6855036855036855E-2"/>
          <c:w val="0.79326454665784996"/>
          <c:h val="0.84029484029484025"/>
        </c:manualLayout>
      </c:layout>
      <c:barChart>
        <c:barDir val="col"/>
        <c:grouping val="clustered"/>
        <c:varyColors val="0"/>
        <c:ser>
          <c:idx val="0"/>
          <c:order val="0"/>
          <c:tx>
            <c:strRef>
              <c:f>'Staaf-Profiel per vak'!$S$32:$S$33</c:f>
              <c:strCache>
                <c:ptCount val="2"/>
                <c:pt idx="0">
                  <c:v>REKENEN &amp; WISKUNDE</c:v>
                </c:pt>
                <c:pt idx="1">
                  <c:v>Opbrengst</c:v>
                </c:pt>
              </c:strCache>
            </c:strRef>
          </c:tx>
          <c:spPr>
            <a:gradFill>
              <a:gsLst>
                <a:gs pos="0">
                  <a:srgbClr val="008000"/>
                </a:gs>
                <a:gs pos="50000">
                  <a:srgbClr val="00FF00"/>
                </a:gs>
                <a:gs pos="100000">
                  <a:srgbClr val="008000"/>
                </a:gs>
              </a:gsLst>
              <a:lin ang="0" scaled="1"/>
            </a:gradFill>
          </c:spPr>
          <c:invertIfNegative val="0"/>
          <c:cat>
            <c:strRef>
              <c:f>'Staaf-Profiel per vak'!$R$34:$R$42</c:f>
              <c:strCache>
                <c:ptCount val="9"/>
                <c:pt idx="0">
                  <c:v>M4</c:v>
                </c:pt>
                <c:pt idx="1">
                  <c:v>E4</c:v>
                </c:pt>
                <c:pt idx="2">
                  <c:v>M5</c:v>
                </c:pt>
                <c:pt idx="3">
                  <c:v>E5</c:v>
                </c:pt>
                <c:pt idx="4">
                  <c:v>M6</c:v>
                </c:pt>
                <c:pt idx="5">
                  <c:v>E6</c:v>
                </c:pt>
                <c:pt idx="6">
                  <c:v>M7</c:v>
                </c:pt>
                <c:pt idx="7">
                  <c:v>E7</c:v>
                </c:pt>
                <c:pt idx="8">
                  <c:v>M8</c:v>
                </c:pt>
              </c:strCache>
            </c:strRef>
          </c:cat>
          <c:val>
            <c:numRef>
              <c:f>'Staaf-Profiel per vak'!$S$34:$S$42</c:f>
              <c:numCache>
                <c:formatCode>0%</c:formatCode>
                <c:ptCount val="9"/>
                <c:pt idx="0">
                  <c:v>0.25</c:v>
                </c:pt>
                <c:pt idx="1">
                  <c:v>0.77500000000000002</c:v>
                </c:pt>
                <c:pt idx="2">
                  <c:v>0.25</c:v>
                </c:pt>
                <c:pt idx="3">
                  <c:v>0.6</c:v>
                </c:pt>
                <c:pt idx="4">
                  <c:v>0.4</c:v>
                </c:pt>
                <c:pt idx="5">
                  <c:v>0</c:v>
                </c:pt>
                <c:pt idx="6">
                  <c:v>0</c:v>
                </c:pt>
                <c:pt idx="7">
                  <c:v>0</c:v>
                </c:pt>
                <c:pt idx="8">
                  <c:v>0</c:v>
                </c:pt>
              </c:numCache>
            </c:numRef>
          </c:val>
        </c:ser>
        <c:dLbls>
          <c:showLegendKey val="0"/>
          <c:showVal val="0"/>
          <c:showCatName val="0"/>
          <c:showSerName val="0"/>
          <c:showPercent val="0"/>
          <c:showBubbleSize val="0"/>
        </c:dLbls>
        <c:gapWidth val="50"/>
        <c:axId val="238864232"/>
        <c:axId val="238864624"/>
      </c:barChart>
      <c:lineChart>
        <c:grouping val="standard"/>
        <c:varyColors val="0"/>
        <c:ser>
          <c:idx val="1"/>
          <c:order val="1"/>
          <c:tx>
            <c:strRef>
              <c:f>'Staaf-Profiel per vak'!$T$32:$T$33</c:f>
              <c:strCache>
                <c:ptCount val="2"/>
                <c:pt idx="0">
                  <c:v>REKENEN &amp; WISKUNDE</c:v>
                </c:pt>
                <c:pt idx="1">
                  <c:v>80% Norm</c:v>
                </c:pt>
              </c:strCache>
            </c:strRef>
          </c:tx>
          <c:spPr>
            <a:ln w="38100">
              <a:solidFill>
                <a:srgbClr val="FF0000"/>
              </a:solidFill>
              <a:prstDash val="solid"/>
            </a:ln>
          </c:spPr>
          <c:marker>
            <c:symbol val="square"/>
            <c:size val="9"/>
            <c:spPr>
              <a:solidFill>
                <a:srgbClr val="FF0000"/>
              </a:solidFill>
              <a:ln>
                <a:solidFill>
                  <a:srgbClr val="FF0000"/>
                </a:solidFill>
                <a:prstDash val="solid"/>
              </a:ln>
            </c:spPr>
          </c:marker>
          <c:cat>
            <c:strRef>
              <c:f>'Staaf-Profiel per vak'!$R$34:$R$42</c:f>
              <c:strCache>
                <c:ptCount val="9"/>
                <c:pt idx="0">
                  <c:v>M4</c:v>
                </c:pt>
                <c:pt idx="1">
                  <c:v>E4</c:v>
                </c:pt>
                <c:pt idx="2">
                  <c:v>M5</c:v>
                </c:pt>
                <c:pt idx="3">
                  <c:v>E5</c:v>
                </c:pt>
                <c:pt idx="4">
                  <c:v>M6</c:v>
                </c:pt>
                <c:pt idx="5">
                  <c:v>E6</c:v>
                </c:pt>
                <c:pt idx="6">
                  <c:v>M7</c:v>
                </c:pt>
                <c:pt idx="7">
                  <c:v>E7</c:v>
                </c:pt>
                <c:pt idx="8">
                  <c:v>M8</c:v>
                </c:pt>
              </c:strCache>
            </c:strRef>
          </c:cat>
          <c:val>
            <c:numRef>
              <c:f>'Staaf-Profiel per vak'!$T$34:$T$42</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'Staaf-Profiel per vak'!$V$32:$V$33</c:f>
              <c:strCache>
                <c:ptCount val="2"/>
                <c:pt idx="0">
                  <c:v>REKENEN &amp; WISKUNDE</c:v>
                </c:pt>
                <c:pt idx="1">
                  <c:v>Profiel</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'Staaf-Profiel per vak'!$R$34:$R$42</c:f>
              <c:strCache>
                <c:ptCount val="9"/>
                <c:pt idx="0">
                  <c:v>M4</c:v>
                </c:pt>
                <c:pt idx="1">
                  <c:v>E4</c:v>
                </c:pt>
                <c:pt idx="2">
                  <c:v>M5</c:v>
                </c:pt>
                <c:pt idx="3">
                  <c:v>E5</c:v>
                </c:pt>
                <c:pt idx="4">
                  <c:v>M6</c:v>
                </c:pt>
                <c:pt idx="5">
                  <c:v>E6</c:v>
                </c:pt>
                <c:pt idx="6">
                  <c:v>M7</c:v>
                </c:pt>
                <c:pt idx="7">
                  <c:v>E7</c:v>
                </c:pt>
                <c:pt idx="8">
                  <c:v>M8</c:v>
                </c:pt>
              </c:strCache>
            </c:strRef>
          </c:cat>
          <c:val>
            <c:numRef>
              <c:f>'Staaf-Profiel per vak'!$V$34:$V$42</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8864232"/>
        <c:axId val="238864624"/>
      </c:lineChart>
      <c:catAx>
        <c:axId val="2388642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8864624"/>
        <c:crossesAt val="0"/>
        <c:auto val="1"/>
        <c:lblAlgn val="ctr"/>
        <c:lblOffset val="100"/>
        <c:tickLblSkip val="1"/>
        <c:tickMarkSkip val="1"/>
        <c:noMultiLvlLbl val="0"/>
      </c:catAx>
      <c:valAx>
        <c:axId val="238864624"/>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8864232"/>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2810782798491644"/>
          <c:y val="4.6683046683046681E-2"/>
          <c:w val="0.16724763063153691"/>
          <c:h val="0.41277641277641275"/>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E4'!$J$59:$S$59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E4'!$J$60:$S$60</c:f>
              <c:numCache>
                <c:formatCode>0%</c:formatCode>
                <c:ptCount val="10"/>
                <c:pt idx="0">
                  <c:v>0</c:v>
                </c:pt>
                <c:pt idx="1">
                  <c:v>1</c:v>
                </c:pt>
                <c:pt idx="2">
                  <c:v>0.5</c:v>
                </c:pt>
                <c:pt idx="3">
                  <c:v>1</c:v>
                </c:pt>
                <c:pt idx="4">
                  <c:v>1</c:v>
                </c:pt>
                <c:pt idx="5">
                  <c:v>0.46666666666666662</c:v>
                </c:pt>
                <c:pt idx="6" formatCode="0.00%">
                  <c:v>0</c:v>
                </c:pt>
                <c:pt idx="7">
                  <c:v>1</c:v>
                </c:pt>
                <c:pt idx="8">
                  <c:v>0</c:v>
                </c:pt>
                <c:pt idx="9">
                  <c:v>0</c:v>
                </c:pt>
              </c:numCache>
            </c:numRef>
          </c:val>
        </c:ser>
        <c:dLbls>
          <c:showLegendKey val="0"/>
          <c:showVal val="0"/>
          <c:showCatName val="0"/>
          <c:showSerName val="0"/>
          <c:showPercent val="0"/>
          <c:showBubbleSize val="0"/>
        </c:dLbls>
        <c:gapWidth val="50"/>
        <c:axId val="219102936"/>
        <c:axId val="219103328"/>
      </c:barChart>
      <c:catAx>
        <c:axId val="21910293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19103328"/>
        <c:crosses val="autoZero"/>
        <c:auto val="1"/>
        <c:lblAlgn val="ctr"/>
        <c:lblOffset val="100"/>
        <c:tickLblSkip val="1"/>
        <c:tickMarkSkip val="1"/>
        <c:noMultiLvlLbl val="0"/>
      </c:catAx>
      <c:valAx>
        <c:axId val="219103328"/>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19102936"/>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281115712033158E-2"/>
          <c:y val="2.4590183617910811E-2"/>
          <c:w val="0.82258110789277827"/>
          <c:h val="0.9098367938627"/>
        </c:manualLayout>
      </c:layout>
      <c:lineChart>
        <c:grouping val="standard"/>
        <c:varyColors val="0"/>
        <c:ser>
          <c:idx val="0"/>
          <c:order val="0"/>
          <c:tx>
            <c:strRef>
              <c:f>'Lijn-TOPP'!$K$7</c:f>
              <c:strCache>
                <c:ptCount val="1"/>
                <c:pt idx="0">
                  <c:v>Opbrengst</c:v>
                </c:pt>
              </c:strCache>
            </c:strRef>
          </c:tx>
          <c:spPr>
            <a:ln w="38100">
              <a:solidFill>
                <a:srgbClr val="339966"/>
              </a:solidFill>
              <a:prstDash val="solid"/>
            </a:ln>
          </c:spPr>
          <c:marker>
            <c:symbol val="circle"/>
            <c:size val="10"/>
            <c:spPr>
              <a:solidFill>
                <a:srgbClr val="339966"/>
              </a:solidFill>
              <a:ln>
                <a:solidFill>
                  <a:srgbClr val="339966"/>
                </a:solidFill>
                <a:prstDash val="solid"/>
              </a:ln>
            </c:spPr>
          </c:marker>
          <c:cat>
            <c:strRef>
              <c:f>'Lijn-TOPP'!$J$8:$J$16</c:f>
              <c:strCache>
                <c:ptCount val="9"/>
                <c:pt idx="0">
                  <c:v>M4</c:v>
                </c:pt>
                <c:pt idx="1">
                  <c:v>E4</c:v>
                </c:pt>
                <c:pt idx="2">
                  <c:v>M5</c:v>
                </c:pt>
                <c:pt idx="3">
                  <c:v>E5</c:v>
                </c:pt>
                <c:pt idx="4">
                  <c:v>M6</c:v>
                </c:pt>
                <c:pt idx="5">
                  <c:v>E6</c:v>
                </c:pt>
                <c:pt idx="6">
                  <c:v>M7</c:v>
                </c:pt>
                <c:pt idx="7">
                  <c:v>E7</c:v>
                </c:pt>
                <c:pt idx="8">
                  <c:v>M8</c:v>
                </c:pt>
              </c:strCache>
            </c:strRef>
          </c:cat>
          <c:val>
            <c:numRef>
              <c:f>'Lijn-TOPP'!$K$8:$K$16</c:f>
              <c:numCache>
                <c:formatCode>0%</c:formatCode>
                <c:ptCount val="9"/>
                <c:pt idx="0">
                  <c:v>0</c:v>
                </c:pt>
                <c:pt idx="1">
                  <c:v>0</c:v>
                </c:pt>
                <c:pt idx="2">
                  <c:v>0.67499999999999993</c:v>
                </c:pt>
                <c:pt idx="3">
                  <c:v>0.63750000000000007</c:v>
                </c:pt>
                <c:pt idx="4">
                  <c:v>0.78333333333333333</c:v>
                </c:pt>
                <c:pt idx="5">
                  <c:v>0.57499999999999996</c:v>
                </c:pt>
                <c:pt idx="6">
                  <c:v>0.61666666666666659</c:v>
                </c:pt>
                <c:pt idx="7">
                  <c:v>0.59166666666666667</c:v>
                </c:pt>
                <c:pt idx="8">
                  <c:v>0.61666666666666659</c:v>
                </c:pt>
              </c:numCache>
            </c:numRef>
          </c:val>
          <c:smooth val="0"/>
        </c:ser>
        <c:ser>
          <c:idx val="1"/>
          <c:order val="1"/>
          <c:tx>
            <c:strRef>
              <c:f>'Lijn-TOPP'!$L$7</c:f>
              <c:strCache>
                <c:ptCount val="1"/>
                <c:pt idx="0">
                  <c:v>80% Norm</c:v>
                </c:pt>
              </c:strCache>
            </c:strRef>
          </c:tx>
          <c:spPr>
            <a:ln w="38100">
              <a:solidFill>
                <a:srgbClr val="FF0000"/>
              </a:solidFill>
              <a:prstDash val="solid"/>
            </a:ln>
          </c:spPr>
          <c:marker>
            <c:symbol val="circle"/>
            <c:size val="10"/>
            <c:spPr>
              <a:solidFill>
                <a:srgbClr val="FF0000"/>
              </a:solidFill>
              <a:ln>
                <a:solidFill>
                  <a:srgbClr val="FF0000"/>
                </a:solidFill>
                <a:prstDash val="solid"/>
              </a:ln>
            </c:spPr>
          </c:marker>
          <c:cat>
            <c:strRef>
              <c:f>'Lijn-TOPP'!$J$8:$J$16</c:f>
              <c:strCache>
                <c:ptCount val="9"/>
                <c:pt idx="0">
                  <c:v>M4</c:v>
                </c:pt>
                <c:pt idx="1">
                  <c:v>E4</c:v>
                </c:pt>
                <c:pt idx="2">
                  <c:v>M5</c:v>
                </c:pt>
                <c:pt idx="3">
                  <c:v>E5</c:v>
                </c:pt>
                <c:pt idx="4">
                  <c:v>M6</c:v>
                </c:pt>
                <c:pt idx="5">
                  <c:v>E6</c:v>
                </c:pt>
                <c:pt idx="6">
                  <c:v>M7</c:v>
                </c:pt>
                <c:pt idx="7">
                  <c:v>E7</c:v>
                </c:pt>
                <c:pt idx="8">
                  <c:v>M8</c:v>
                </c:pt>
              </c:strCache>
            </c:strRef>
          </c:cat>
          <c:val>
            <c:numRef>
              <c:f>'Lijn-TOPP'!$L$8:$L$16</c:f>
              <c:numCache>
                <c:formatCode>0%</c:formatCode>
                <c:ptCount val="9"/>
                <c:pt idx="0">
                  <c:v>0.48</c:v>
                </c:pt>
                <c:pt idx="1">
                  <c:v>0.48</c:v>
                </c:pt>
                <c:pt idx="2">
                  <c:v>0.48</c:v>
                </c:pt>
                <c:pt idx="3">
                  <c:v>0.48</c:v>
                </c:pt>
                <c:pt idx="4">
                  <c:v>0.48</c:v>
                </c:pt>
                <c:pt idx="5">
                  <c:v>0.48</c:v>
                </c:pt>
                <c:pt idx="6">
                  <c:v>0.48</c:v>
                </c:pt>
                <c:pt idx="7">
                  <c:v>0.48</c:v>
                </c:pt>
                <c:pt idx="8">
                  <c:v>0.48</c:v>
                </c:pt>
              </c:numCache>
            </c:numRef>
          </c:val>
          <c:smooth val="0"/>
        </c:ser>
        <c:ser>
          <c:idx val="2"/>
          <c:order val="2"/>
          <c:tx>
            <c:strRef>
              <c:f>'Lijn-TOPP'!$M$7</c:f>
              <c:strCache>
                <c:ptCount val="1"/>
                <c:pt idx="0">
                  <c:v>Profiel</c:v>
                </c:pt>
              </c:strCache>
            </c:strRef>
          </c:tx>
          <c:spPr>
            <a:ln w="38100">
              <a:solidFill>
                <a:srgbClr val="0000FF"/>
              </a:solidFill>
              <a:prstDash val="solid"/>
            </a:ln>
          </c:spPr>
          <c:marker>
            <c:symbol val="circle"/>
            <c:size val="10"/>
            <c:spPr>
              <a:solidFill>
                <a:srgbClr val="0000FF"/>
              </a:solidFill>
              <a:ln>
                <a:solidFill>
                  <a:srgbClr val="0000FF"/>
                </a:solidFill>
                <a:prstDash val="solid"/>
              </a:ln>
            </c:spPr>
          </c:marker>
          <c:cat>
            <c:strRef>
              <c:f>'Lijn-TOPP'!$J$8:$J$16</c:f>
              <c:strCache>
                <c:ptCount val="9"/>
                <c:pt idx="0">
                  <c:v>M4</c:v>
                </c:pt>
                <c:pt idx="1">
                  <c:v>E4</c:v>
                </c:pt>
                <c:pt idx="2">
                  <c:v>M5</c:v>
                </c:pt>
                <c:pt idx="3">
                  <c:v>E5</c:v>
                </c:pt>
                <c:pt idx="4">
                  <c:v>M6</c:v>
                </c:pt>
                <c:pt idx="5">
                  <c:v>E6</c:v>
                </c:pt>
                <c:pt idx="6">
                  <c:v>M7</c:v>
                </c:pt>
                <c:pt idx="7">
                  <c:v>E7</c:v>
                </c:pt>
                <c:pt idx="8">
                  <c:v>M8</c:v>
                </c:pt>
              </c:strCache>
            </c:strRef>
          </c:cat>
          <c:val>
            <c:numRef>
              <c:f>'Lijn-TOPP'!$M$8:$M$16</c:f>
              <c:numCache>
                <c:formatCode>0%</c:formatCode>
                <c:ptCount val="9"/>
                <c:pt idx="0">
                  <c:v>0.6</c:v>
                </c:pt>
                <c:pt idx="1">
                  <c:v>0.6</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7871384"/>
        <c:axId val="237871776"/>
      </c:lineChart>
      <c:catAx>
        <c:axId val="237871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7871776"/>
        <c:crossesAt val="0"/>
        <c:auto val="1"/>
        <c:lblAlgn val="ctr"/>
        <c:lblOffset val="100"/>
        <c:tickLblSkip val="1"/>
        <c:tickMarkSkip val="1"/>
        <c:noMultiLvlLbl val="0"/>
      </c:catAx>
      <c:valAx>
        <c:axId val="237871776"/>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7871384"/>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5253504602247299"/>
          <c:y val="3.6065573770491806E-2"/>
          <c:w val="0.13824896887889015"/>
          <c:h val="0.1459018114538961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281115712033158E-2"/>
          <c:y val="2.4590183617910811E-2"/>
          <c:w val="0.82258110789277827"/>
          <c:h val="0.9098367938627"/>
        </c:manualLayout>
      </c:layout>
      <c:barChart>
        <c:barDir val="col"/>
        <c:grouping val="clustered"/>
        <c:varyColors val="0"/>
        <c:ser>
          <c:idx val="0"/>
          <c:order val="0"/>
          <c:tx>
            <c:strRef>
              <c:f>'Staaf-TOPP'!$K$7</c:f>
              <c:strCache>
                <c:ptCount val="1"/>
                <c:pt idx="0">
                  <c:v>Opbrengst</c:v>
                </c:pt>
              </c:strCache>
            </c:strRef>
          </c:tx>
          <c:spPr>
            <a:gradFill>
              <a:gsLst>
                <a:gs pos="0">
                  <a:srgbClr val="008000"/>
                </a:gs>
                <a:gs pos="50000">
                  <a:srgbClr val="00FF00"/>
                </a:gs>
                <a:gs pos="100000">
                  <a:srgbClr val="008000"/>
                </a:gs>
              </a:gsLst>
              <a:lin ang="0" scaled="1"/>
            </a:gradFill>
          </c:spPr>
          <c:invertIfNegative val="0"/>
          <c:cat>
            <c:strRef>
              <c:f>'Staaf-TOPP'!$J$8:$J$16</c:f>
              <c:strCache>
                <c:ptCount val="9"/>
                <c:pt idx="0">
                  <c:v>M4</c:v>
                </c:pt>
                <c:pt idx="1">
                  <c:v>E4</c:v>
                </c:pt>
                <c:pt idx="2">
                  <c:v>M5</c:v>
                </c:pt>
                <c:pt idx="3">
                  <c:v>E5</c:v>
                </c:pt>
                <c:pt idx="4">
                  <c:v>M6</c:v>
                </c:pt>
                <c:pt idx="5">
                  <c:v>E6</c:v>
                </c:pt>
                <c:pt idx="6">
                  <c:v>M7</c:v>
                </c:pt>
                <c:pt idx="7">
                  <c:v>E7</c:v>
                </c:pt>
                <c:pt idx="8">
                  <c:v>M8</c:v>
                </c:pt>
              </c:strCache>
            </c:strRef>
          </c:cat>
          <c:val>
            <c:numRef>
              <c:f>'Staaf-TOPP'!$K$8:$K$16</c:f>
              <c:numCache>
                <c:formatCode>0%</c:formatCode>
                <c:ptCount val="9"/>
                <c:pt idx="0">
                  <c:v>0.62083333333333335</c:v>
                </c:pt>
                <c:pt idx="1">
                  <c:v>0.72499999999999998</c:v>
                </c:pt>
                <c:pt idx="2">
                  <c:v>0.53749999999999998</c:v>
                </c:pt>
                <c:pt idx="3">
                  <c:v>0.65</c:v>
                </c:pt>
                <c:pt idx="4">
                  <c:v>0.5625</c:v>
                </c:pt>
                <c:pt idx="5">
                  <c:v>0</c:v>
                </c:pt>
                <c:pt idx="6">
                  <c:v>0</c:v>
                </c:pt>
                <c:pt idx="7">
                  <c:v>0</c:v>
                </c:pt>
                <c:pt idx="8">
                  <c:v>0</c:v>
                </c:pt>
              </c:numCache>
            </c:numRef>
          </c:val>
        </c:ser>
        <c:dLbls>
          <c:showLegendKey val="0"/>
          <c:showVal val="0"/>
          <c:showCatName val="0"/>
          <c:showSerName val="0"/>
          <c:showPercent val="0"/>
          <c:showBubbleSize val="0"/>
        </c:dLbls>
        <c:gapWidth val="50"/>
        <c:axId val="237872560"/>
        <c:axId val="237872952"/>
      </c:barChart>
      <c:lineChart>
        <c:grouping val="standard"/>
        <c:varyColors val="0"/>
        <c:ser>
          <c:idx val="1"/>
          <c:order val="1"/>
          <c:tx>
            <c:strRef>
              <c:f>'Staaf-TOPP'!$L$7</c:f>
              <c:strCache>
                <c:ptCount val="1"/>
                <c:pt idx="0">
                  <c:v>80% Norm</c:v>
                </c:pt>
              </c:strCache>
            </c:strRef>
          </c:tx>
          <c:spPr>
            <a:ln w="38100">
              <a:solidFill>
                <a:srgbClr val="FF0000"/>
              </a:solidFill>
              <a:prstDash val="solid"/>
            </a:ln>
          </c:spPr>
          <c:marker>
            <c:symbol val="circle"/>
            <c:size val="10"/>
            <c:spPr>
              <a:solidFill>
                <a:srgbClr val="FF0000"/>
              </a:solidFill>
              <a:ln>
                <a:solidFill>
                  <a:srgbClr val="FF0000"/>
                </a:solidFill>
                <a:prstDash val="solid"/>
              </a:ln>
            </c:spPr>
          </c:marker>
          <c:cat>
            <c:strRef>
              <c:f>'Staaf-TOPP'!$J$8:$J$16</c:f>
              <c:strCache>
                <c:ptCount val="9"/>
                <c:pt idx="0">
                  <c:v>M4</c:v>
                </c:pt>
                <c:pt idx="1">
                  <c:v>E4</c:v>
                </c:pt>
                <c:pt idx="2">
                  <c:v>M5</c:v>
                </c:pt>
                <c:pt idx="3">
                  <c:v>E5</c:v>
                </c:pt>
                <c:pt idx="4">
                  <c:v>M6</c:v>
                </c:pt>
                <c:pt idx="5">
                  <c:v>E6</c:v>
                </c:pt>
                <c:pt idx="6">
                  <c:v>M7</c:v>
                </c:pt>
                <c:pt idx="7">
                  <c:v>E7</c:v>
                </c:pt>
                <c:pt idx="8">
                  <c:v>M8</c:v>
                </c:pt>
              </c:strCache>
            </c:strRef>
          </c:cat>
          <c:val>
            <c:numRef>
              <c:f>'Staaf-TOPP'!$L$8:$L$16</c:f>
              <c:numCache>
                <c:formatCode>0%</c:formatCode>
                <c:ptCount val="9"/>
                <c:pt idx="0">
                  <c:v>0.64000000000000012</c:v>
                </c:pt>
                <c:pt idx="1">
                  <c:v>0.64000000000000012</c:v>
                </c:pt>
                <c:pt idx="2">
                  <c:v>0.48</c:v>
                </c:pt>
                <c:pt idx="3">
                  <c:v>0.48</c:v>
                </c:pt>
                <c:pt idx="4">
                  <c:v>0.48</c:v>
                </c:pt>
                <c:pt idx="5">
                  <c:v>0.48</c:v>
                </c:pt>
                <c:pt idx="6">
                  <c:v>0.48</c:v>
                </c:pt>
                <c:pt idx="7">
                  <c:v>0.48</c:v>
                </c:pt>
                <c:pt idx="8">
                  <c:v>0.48</c:v>
                </c:pt>
              </c:numCache>
            </c:numRef>
          </c:val>
          <c:smooth val="0"/>
        </c:ser>
        <c:ser>
          <c:idx val="2"/>
          <c:order val="2"/>
          <c:tx>
            <c:strRef>
              <c:f>'Staaf-TOPP'!$M$7</c:f>
              <c:strCache>
                <c:ptCount val="1"/>
                <c:pt idx="0">
                  <c:v>Profiel</c:v>
                </c:pt>
              </c:strCache>
            </c:strRef>
          </c:tx>
          <c:spPr>
            <a:ln w="38100">
              <a:solidFill>
                <a:srgbClr val="0000FF"/>
              </a:solidFill>
              <a:prstDash val="solid"/>
            </a:ln>
          </c:spPr>
          <c:marker>
            <c:symbol val="circle"/>
            <c:size val="10"/>
            <c:spPr>
              <a:solidFill>
                <a:srgbClr val="0000FF"/>
              </a:solidFill>
              <a:ln>
                <a:solidFill>
                  <a:srgbClr val="0000FF"/>
                </a:solidFill>
                <a:prstDash val="solid"/>
              </a:ln>
            </c:spPr>
          </c:marker>
          <c:cat>
            <c:strRef>
              <c:f>'Staaf-TOPP'!$J$8:$J$16</c:f>
              <c:strCache>
                <c:ptCount val="9"/>
                <c:pt idx="0">
                  <c:v>M4</c:v>
                </c:pt>
                <c:pt idx="1">
                  <c:v>E4</c:v>
                </c:pt>
                <c:pt idx="2">
                  <c:v>M5</c:v>
                </c:pt>
                <c:pt idx="3">
                  <c:v>E5</c:v>
                </c:pt>
                <c:pt idx="4">
                  <c:v>M6</c:v>
                </c:pt>
                <c:pt idx="5">
                  <c:v>E6</c:v>
                </c:pt>
                <c:pt idx="6">
                  <c:v>M7</c:v>
                </c:pt>
                <c:pt idx="7">
                  <c:v>E7</c:v>
                </c:pt>
                <c:pt idx="8">
                  <c:v>M8</c:v>
                </c:pt>
              </c:strCache>
            </c:strRef>
          </c:cat>
          <c:val>
            <c:numRef>
              <c:f>'Staaf-TOPP'!$M$8:$M$16</c:f>
              <c:numCache>
                <c:formatCode>0%</c:formatCode>
                <c:ptCount val="9"/>
                <c:pt idx="0">
                  <c:v>0.8</c:v>
                </c:pt>
                <c:pt idx="1">
                  <c:v>0.8</c:v>
                </c:pt>
                <c:pt idx="2">
                  <c:v>0.6</c:v>
                </c:pt>
                <c:pt idx="3">
                  <c:v>0.6</c:v>
                </c:pt>
                <c:pt idx="4">
                  <c:v>0.6</c:v>
                </c:pt>
                <c:pt idx="5">
                  <c:v>0.6</c:v>
                </c:pt>
                <c:pt idx="6">
                  <c:v>0.6</c:v>
                </c:pt>
                <c:pt idx="7">
                  <c:v>0.6</c:v>
                </c:pt>
                <c:pt idx="8">
                  <c:v>0.6</c:v>
                </c:pt>
              </c:numCache>
            </c:numRef>
          </c:val>
          <c:smooth val="0"/>
        </c:ser>
        <c:dLbls>
          <c:showLegendKey val="0"/>
          <c:showVal val="0"/>
          <c:showCatName val="0"/>
          <c:showSerName val="0"/>
          <c:showPercent val="0"/>
          <c:showBubbleSize val="0"/>
        </c:dLbls>
        <c:marker val="1"/>
        <c:smooth val="0"/>
        <c:axId val="237872560"/>
        <c:axId val="237872952"/>
      </c:lineChart>
      <c:catAx>
        <c:axId val="237872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nl-NL"/>
          </a:p>
        </c:txPr>
        <c:crossAx val="237872952"/>
        <c:crossesAt val="0"/>
        <c:auto val="1"/>
        <c:lblAlgn val="ctr"/>
        <c:lblOffset val="100"/>
        <c:tickLblSkip val="1"/>
        <c:tickMarkSkip val="1"/>
        <c:noMultiLvlLbl val="0"/>
      </c:catAx>
      <c:valAx>
        <c:axId val="23787295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37872560"/>
        <c:crosses val="autoZero"/>
        <c:crossBetween val="between"/>
        <c:majorUnit val="0.2"/>
        <c:minorUnit val="0.04"/>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85253504602247299"/>
          <c:y val="3.6065573770491806E-2"/>
          <c:w val="0.13824896887889015"/>
          <c:h val="0.1459018114538961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E4'!$J$71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E4'!$K$63:$O$63</c:f>
              <c:strCache>
                <c:ptCount val="5"/>
                <c:pt idx="0">
                  <c:v>A</c:v>
                </c:pt>
                <c:pt idx="1">
                  <c:v>B</c:v>
                </c:pt>
                <c:pt idx="2">
                  <c:v>C</c:v>
                </c:pt>
                <c:pt idx="3">
                  <c:v>D</c:v>
                </c:pt>
                <c:pt idx="4">
                  <c:v>E</c:v>
                </c:pt>
              </c:strCache>
            </c:strRef>
          </c:cat>
          <c:val>
            <c:numRef>
              <c:f>'RIO - E4'!$K$71:$O$71</c:f>
              <c:numCache>
                <c:formatCode>0%</c:formatCode>
                <c:ptCount val="5"/>
                <c:pt idx="0">
                  <c:v>0</c:v>
                </c:pt>
                <c:pt idx="1">
                  <c:v>0.33333333333333331</c:v>
                </c:pt>
                <c:pt idx="2">
                  <c:v>0.66666666666666663</c:v>
                </c:pt>
                <c:pt idx="3">
                  <c:v>0</c:v>
                </c:pt>
                <c:pt idx="4">
                  <c:v>0</c:v>
                </c:pt>
              </c:numCache>
            </c:numRef>
          </c:val>
        </c:ser>
        <c:ser>
          <c:idx val="2"/>
          <c:order val="2"/>
          <c:tx>
            <c:strRef>
              <c:f>'RIO - E4'!$J$72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E4'!$K$63:$O$63</c:f>
              <c:strCache>
                <c:ptCount val="5"/>
                <c:pt idx="0">
                  <c:v>A</c:v>
                </c:pt>
                <c:pt idx="1">
                  <c:v>B</c:v>
                </c:pt>
                <c:pt idx="2">
                  <c:v>C</c:v>
                </c:pt>
                <c:pt idx="3">
                  <c:v>D</c:v>
                </c:pt>
                <c:pt idx="4">
                  <c:v>E</c:v>
                </c:pt>
              </c:strCache>
            </c:strRef>
          </c:cat>
          <c:val>
            <c:numRef>
              <c:f>'RIO - E4'!$K$72:$O$72</c:f>
              <c:numCache>
                <c:formatCode>0%</c:formatCode>
                <c:ptCount val="5"/>
                <c:pt idx="0">
                  <c:v>0</c:v>
                </c:pt>
                <c:pt idx="1">
                  <c:v>0.26666666666666666</c:v>
                </c:pt>
                <c:pt idx="2">
                  <c:v>0.19999999999999998</c:v>
                </c:pt>
                <c:pt idx="3">
                  <c:v>0</c:v>
                </c:pt>
                <c:pt idx="4">
                  <c:v>0</c:v>
                </c:pt>
              </c:numCache>
            </c:numRef>
          </c:val>
        </c:ser>
        <c:dLbls>
          <c:showLegendKey val="0"/>
          <c:showVal val="0"/>
          <c:showCatName val="0"/>
          <c:showSerName val="0"/>
          <c:showPercent val="0"/>
          <c:showBubbleSize val="0"/>
        </c:dLbls>
        <c:gapWidth val="40"/>
        <c:axId val="219104112"/>
        <c:axId val="219104504"/>
      </c:barChart>
      <c:barChart>
        <c:barDir val="col"/>
        <c:grouping val="clustered"/>
        <c:varyColors val="0"/>
        <c:ser>
          <c:idx val="0"/>
          <c:order val="0"/>
          <c:tx>
            <c:strRef>
              <c:f>'RIO - E4'!$J$64</c:f>
              <c:strCache>
                <c:ptCount val="1"/>
                <c:pt idx="0">
                  <c:v>Norm</c:v>
                </c:pt>
              </c:strCache>
            </c:strRef>
          </c:tx>
          <c:spPr>
            <a:noFill/>
            <a:ln w="25400">
              <a:solidFill>
                <a:srgbClr val="000000"/>
              </a:solidFill>
              <a:prstDash val="solid"/>
            </a:ln>
          </c:spPr>
          <c:invertIfNegative val="0"/>
          <c:cat>
            <c:strRef>
              <c:f>'RIO - E4'!$K$63:$O$63</c:f>
              <c:strCache>
                <c:ptCount val="5"/>
                <c:pt idx="0">
                  <c:v>A</c:v>
                </c:pt>
                <c:pt idx="1">
                  <c:v>B</c:v>
                </c:pt>
                <c:pt idx="2">
                  <c:v>C</c:v>
                </c:pt>
                <c:pt idx="3">
                  <c:v>D</c:v>
                </c:pt>
                <c:pt idx="4">
                  <c:v>E</c:v>
                </c:pt>
              </c:strCache>
            </c:strRef>
          </c:cat>
          <c:val>
            <c:numRef>
              <c:f>'RIO - E4'!$K$64:$O$64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19104896"/>
        <c:axId val="219105288"/>
      </c:barChart>
      <c:catAx>
        <c:axId val="21910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19104504"/>
        <c:crosses val="autoZero"/>
        <c:auto val="1"/>
        <c:lblAlgn val="ctr"/>
        <c:lblOffset val="100"/>
        <c:tickLblSkip val="1"/>
        <c:tickMarkSkip val="1"/>
        <c:noMultiLvlLbl val="0"/>
      </c:catAx>
      <c:valAx>
        <c:axId val="219104504"/>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19104112"/>
        <c:crosses val="autoZero"/>
        <c:crossBetween val="between"/>
        <c:majorUnit val="0.2"/>
      </c:valAx>
      <c:catAx>
        <c:axId val="219104896"/>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19105288"/>
        <c:crosses val="autoZero"/>
        <c:auto val="1"/>
        <c:lblAlgn val="ctr"/>
        <c:lblOffset val="100"/>
        <c:noMultiLvlLbl val="0"/>
      </c:catAx>
      <c:valAx>
        <c:axId val="219105288"/>
        <c:scaling>
          <c:orientation val="minMax"/>
        </c:scaling>
        <c:delete val="1"/>
        <c:axPos val="r"/>
        <c:numFmt formatCode="0%" sourceLinked="1"/>
        <c:majorTickMark val="out"/>
        <c:minorTickMark val="none"/>
        <c:tickLblPos val="nextTo"/>
        <c:crossAx val="219104896"/>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7429212440866312E-2"/>
          <c:y val="1.0869584447153191E-2"/>
          <c:w val="0.74727748340214317"/>
          <c:h val="0.98188579505950491"/>
        </c:manualLayout>
      </c:layout>
      <c:barChart>
        <c:barDir val="col"/>
        <c:grouping val="clustered"/>
        <c:varyColors val="0"/>
        <c:ser>
          <c:idx val="0"/>
          <c:order val="0"/>
          <c:tx>
            <c:strRef>
              <c:f>'OP - E4'!$F$11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E4'!$F$12</c:f>
              <c:numCache>
                <c:formatCode>0%</c:formatCode>
                <c:ptCount val="1"/>
                <c:pt idx="0">
                  <c:v>0.17500000000000002</c:v>
                </c:pt>
              </c:numCache>
            </c:numRef>
          </c:val>
        </c:ser>
        <c:ser>
          <c:idx val="1"/>
          <c:order val="1"/>
          <c:tx>
            <c:strRef>
              <c:f>'OP - E4'!$G$11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E4'!$G$12</c:f>
              <c:numCache>
                <c:formatCode>0%</c:formatCode>
                <c:ptCount val="1"/>
                <c:pt idx="0">
                  <c:v>0.8</c:v>
                </c:pt>
              </c:numCache>
            </c:numRef>
          </c:val>
        </c:ser>
        <c:ser>
          <c:idx val="2"/>
          <c:order val="2"/>
          <c:tx>
            <c:strRef>
              <c:f>'OP - E4'!$H$11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E4'!$H$12</c:f>
              <c:numCache>
                <c:formatCode>0%</c:formatCode>
                <c:ptCount val="1"/>
                <c:pt idx="0">
                  <c:v>0.375</c:v>
                </c:pt>
              </c:numCache>
            </c:numRef>
          </c:val>
        </c:ser>
        <c:ser>
          <c:idx val="3"/>
          <c:order val="3"/>
          <c:tx>
            <c:strRef>
              <c:f>'OP - E4'!$I$11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E4'!$I$12</c:f>
              <c:numCache>
                <c:formatCode>0%</c:formatCode>
                <c:ptCount val="1"/>
                <c:pt idx="0">
                  <c:v>1.075</c:v>
                </c:pt>
              </c:numCache>
            </c:numRef>
          </c:val>
        </c:ser>
        <c:ser>
          <c:idx val="4"/>
          <c:order val="4"/>
          <c:tx>
            <c:strRef>
              <c:f>'OP - E4'!$J$11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E4'!$J$12</c:f>
              <c:numCache>
                <c:formatCode>0%</c:formatCode>
                <c:ptCount val="1"/>
                <c:pt idx="0">
                  <c:v>0.82499999999999996</c:v>
                </c:pt>
              </c:numCache>
            </c:numRef>
          </c:val>
        </c:ser>
        <c:dLbls>
          <c:showLegendKey val="0"/>
          <c:showVal val="0"/>
          <c:showCatName val="0"/>
          <c:showSerName val="0"/>
          <c:showPercent val="0"/>
          <c:showBubbleSize val="0"/>
        </c:dLbls>
        <c:gapWidth val="50"/>
        <c:overlap val="-50"/>
        <c:axId val="219106072"/>
        <c:axId val="219106464"/>
      </c:barChart>
      <c:barChart>
        <c:barDir val="col"/>
        <c:grouping val="clustered"/>
        <c:varyColors val="0"/>
        <c:ser>
          <c:idx val="6"/>
          <c:order val="5"/>
          <c:tx>
            <c:strRef>
              <c:f>'OP - E4'!$K$11</c:f>
              <c:strCache>
                <c:ptCount val="1"/>
                <c:pt idx="0">
                  <c:v>80% Norm</c:v>
                </c:pt>
              </c:strCache>
            </c:strRef>
          </c:tx>
          <c:spPr>
            <a:noFill/>
            <a:ln w="38100">
              <a:solidFill>
                <a:srgbClr val="FF0000"/>
              </a:solidFill>
              <a:prstDash val="solid"/>
            </a:ln>
          </c:spPr>
          <c:invertIfNegative val="0"/>
          <c:val>
            <c:numRef>
              <c:f>'OP - E4'!$K$12</c:f>
              <c:numCache>
                <c:formatCode>0%</c:formatCode>
                <c:ptCount val="1"/>
                <c:pt idx="0">
                  <c:v>0.48</c:v>
                </c:pt>
              </c:numCache>
            </c:numRef>
          </c:val>
        </c:ser>
        <c:ser>
          <c:idx val="5"/>
          <c:order val="6"/>
          <c:tx>
            <c:strRef>
              <c:f>'OP - E4'!$L$11</c:f>
              <c:strCache>
                <c:ptCount val="1"/>
                <c:pt idx="0">
                  <c:v>Profiel</c:v>
                </c:pt>
              </c:strCache>
            </c:strRef>
          </c:tx>
          <c:spPr>
            <a:noFill/>
            <a:ln w="38100">
              <a:solidFill>
                <a:srgbClr val="0000FF"/>
              </a:solidFill>
              <a:prstDash val="solid"/>
            </a:ln>
          </c:spPr>
          <c:invertIfNegative val="0"/>
          <c:val>
            <c:numRef>
              <c:f>'OP - E4'!$L$12</c:f>
              <c:numCache>
                <c:formatCode>0%</c:formatCode>
                <c:ptCount val="1"/>
                <c:pt idx="0">
                  <c:v>0.6</c:v>
                </c:pt>
              </c:numCache>
            </c:numRef>
          </c:val>
        </c:ser>
        <c:dLbls>
          <c:showLegendKey val="0"/>
          <c:showVal val="0"/>
          <c:showCatName val="0"/>
          <c:showSerName val="0"/>
          <c:showPercent val="0"/>
          <c:showBubbleSize val="0"/>
        </c:dLbls>
        <c:gapWidth val="0"/>
        <c:overlap val="100"/>
        <c:axId val="219106856"/>
        <c:axId val="219107248"/>
      </c:barChart>
      <c:catAx>
        <c:axId val="219106072"/>
        <c:scaling>
          <c:orientation val="minMax"/>
        </c:scaling>
        <c:delete val="1"/>
        <c:axPos val="b"/>
        <c:majorTickMark val="out"/>
        <c:minorTickMark val="none"/>
        <c:tickLblPos val="nextTo"/>
        <c:crossAx val="219106464"/>
        <c:crossesAt val="0"/>
        <c:auto val="1"/>
        <c:lblAlgn val="ctr"/>
        <c:lblOffset val="100"/>
        <c:noMultiLvlLbl val="0"/>
      </c:catAx>
      <c:valAx>
        <c:axId val="219106464"/>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19106072"/>
        <c:crosses val="autoZero"/>
        <c:crossBetween val="between"/>
        <c:majorUnit val="0.2"/>
        <c:minorUnit val="0.04"/>
      </c:valAx>
      <c:catAx>
        <c:axId val="219106856"/>
        <c:scaling>
          <c:orientation val="minMax"/>
        </c:scaling>
        <c:delete val="1"/>
        <c:axPos val="b"/>
        <c:majorTickMark val="out"/>
        <c:minorTickMark val="none"/>
        <c:tickLblPos val="nextTo"/>
        <c:crossAx val="219107248"/>
        <c:crosses val="autoZero"/>
        <c:auto val="1"/>
        <c:lblAlgn val="ctr"/>
        <c:lblOffset val="100"/>
        <c:noMultiLvlLbl val="0"/>
      </c:catAx>
      <c:valAx>
        <c:axId val="219107248"/>
        <c:scaling>
          <c:orientation val="minMax"/>
        </c:scaling>
        <c:delete val="1"/>
        <c:axPos val="r"/>
        <c:numFmt formatCode="0%" sourceLinked="1"/>
        <c:majorTickMark val="out"/>
        <c:minorTickMark val="none"/>
        <c:tickLblPos val="nextTo"/>
        <c:crossAx val="219106856"/>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7342127985635778"/>
          <c:y val="1.9927536231884056E-2"/>
          <c:w val="0.2145971786206462"/>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144551088642E-2"/>
          <c:y val="8.9285714285714288E-2"/>
          <c:w val="0.9063588931306974"/>
          <c:h val="0.67321428571428577"/>
        </c:manualLayout>
      </c:layout>
      <c:barChart>
        <c:barDir val="col"/>
        <c:grouping val="clustered"/>
        <c:varyColors val="0"/>
        <c:ser>
          <c:idx val="0"/>
          <c:order val="0"/>
          <c:spPr>
            <a:gradFill rotWithShape="0">
              <a:gsLst>
                <a:gs pos="0">
                  <a:srgbClr val="9999FF"/>
                </a:gs>
                <a:gs pos="50000">
                  <a:srgbClr val="FFFFFF"/>
                </a:gs>
                <a:gs pos="100000">
                  <a:srgbClr val="9999FF"/>
                </a:gs>
              </a:gsLst>
              <a:lin ang="0" scaled="1"/>
            </a:gradFill>
            <a:ln w="12700">
              <a:solidFill>
                <a:srgbClr val="000000"/>
              </a:solidFill>
              <a:prstDash val="solid"/>
            </a:ln>
          </c:spPr>
          <c:invertIfNegative val="0"/>
          <c:dPt>
            <c:idx val="3"/>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4"/>
            <c:invertIfNegative val="0"/>
            <c:bubble3D val="0"/>
            <c:spPr>
              <a:gradFill rotWithShape="0">
                <a:gsLst>
                  <a:gs pos="0">
                    <a:srgbClr val="FF8080"/>
                  </a:gs>
                  <a:gs pos="50000">
                    <a:srgbClr val="FFFFFF"/>
                  </a:gs>
                  <a:gs pos="100000">
                    <a:srgbClr val="FF8080"/>
                  </a:gs>
                </a:gsLst>
                <a:lin ang="0" scaled="1"/>
              </a:gradFill>
              <a:ln w="12700">
                <a:solidFill>
                  <a:srgbClr val="000000"/>
                </a:solidFill>
                <a:prstDash val="solid"/>
              </a:ln>
            </c:spPr>
          </c:dPt>
          <c:dPt>
            <c:idx val="5"/>
            <c:invertIfNegative val="0"/>
            <c:bubble3D val="0"/>
            <c:spPr>
              <a:gradFill rotWithShape="0">
                <a:gsLst>
                  <a:gs pos="0">
                    <a:srgbClr val="FF00FF"/>
                  </a:gs>
                  <a:gs pos="50000">
                    <a:srgbClr val="FFFFFF"/>
                  </a:gs>
                  <a:gs pos="100000">
                    <a:srgbClr val="FF00FF"/>
                  </a:gs>
                </a:gsLst>
                <a:lin ang="0" scaled="1"/>
              </a:gradFill>
              <a:ln w="12700">
                <a:solidFill>
                  <a:srgbClr val="000000"/>
                </a:solidFill>
                <a:prstDash val="solid"/>
              </a:ln>
            </c:spPr>
          </c:dPt>
          <c:dPt>
            <c:idx val="6"/>
            <c:invertIfNegative val="0"/>
            <c:bubble3D val="0"/>
            <c:spPr>
              <a:gradFill rotWithShape="0">
                <a:gsLst>
                  <a:gs pos="0">
                    <a:srgbClr val="FFFF00"/>
                  </a:gs>
                  <a:gs pos="50000">
                    <a:srgbClr val="FFFFFF"/>
                  </a:gs>
                  <a:gs pos="100000">
                    <a:srgbClr val="FFFF00"/>
                  </a:gs>
                </a:gsLst>
                <a:lin ang="0" scaled="1"/>
              </a:gradFill>
              <a:ln w="12700">
                <a:solidFill>
                  <a:srgbClr val="000000"/>
                </a:solidFill>
                <a:prstDash val="solid"/>
              </a:ln>
            </c:spPr>
          </c:dPt>
          <c:dPt>
            <c:idx val="7"/>
            <c:invertIfNegative val="0"/>
            <c:bubble3D val="0"/>
            <c:spPr>
              <a:gradFill rotWithShape="0">
                <a:gsLst>
                  <a:gs pos="0">
                    <a:srgbClr val="CC99FF"/>
                  </a:gs>
                  <a:gs pos="50000">
                    <a:srgbClr val="FFFFFF"/>
                  </a:gs>
                  <a:gs pos="100000">
                    <a:srgbClr val="CC99FF"/>
                  </a:gs>
                </a:gsLst>
                <a:lin ang="0" scaled="1"/>
              </a:gradFill>
              <a:ln w="12700">
                <a:solidFill>
                  <a:srgbClr val="000000"/>
                </a:solidFill>
                <a:prstDash val="solid"/>
              </a:ln>
            </c:spPr>
          </c:dPt>
          <c:dPt>
            <c:idx val="8"/>
            <c:invertIfNegative val="0"/>
            <c:bubble3D val="0"/>
            <c:spPr>
              <a:gradFill rotWithShape="0">
                <a:gsLst>
                  <a:gs pos="0">
                    <a:srgbClr val="993366"/>
                  </a:gs>
                  <a:gs pos="50000">
                    <a:srgbClr val="FFFFFF"/>
                  </a:gs>
                  <a:gs pos="100000">
                    <a:srgbClr val="993366"/>
                  </a:gs>
                </a:gsLst>
                <a:lin ang="0" scaled="1"/>
              </a:gradFill>
              <a:ln w="12700">
                <a:solidFill>
                  <a:srgbClr val="000000"/>
                </a:solidFill>
                <a:prstDash val="solid"/>
              </a:ln>
            </c:spPr>
          </c:dPt>
          <c:dPt>
            <c:idx val="9"/>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Pt>
            <c:idx val="10"/>
            <c:invertIfNegative val="0"/>
            <c:bubble3D val="0"/>
            <c:spPr>
              <a:gradFill rotWithShape="0">
                <a:gsLst>
                  <a:gs pos="0">
                    <a:srgbClr val="99CC00"/>
                  </a:gs>
                  <a:gs pos="50000">
                    <a:srgbClr val="FFFFFF"/>
                  </a:gs>
                  <a:gs pos="100000">
                    <a:srgbClr val="99CC00"/>
                  </a:gs>
                </a:gsLst>
                <a:lin ang="0" scaled="1"/>
              </a:gradFill>
              <a:ln w="12700">
                <a:solidFill>
                  <a:srgbClr val="000000"/>
                </a:solidFill>
                <a:prstDash val="solid"/>
              </a:ln>
            </c:spPr>
          </c:dPt>
          <c:dLbls>
            <c:spPr>
              <a:noFill/>
              <a:ln w="25400">
                <a:noFill/>
              </a:ln>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M5'!$J$59:$S$59</c:f>
              <c:strCache>
                <c:ptCount val="10"/>
                <c:pt idx="0">
                  <c:v>technisch lezen</c:v>
                </c:pt>
                <c:pt idx="1">
                  <c:v>begrijpend lezen</c:v>
                </c:pt>
                <c:pt idx="2">
                  <c:v>spellen</c:v>
                </c:pt>
                <c:pt idx="3">
                  <c:v>hoofdrekenen</c:v>
                </c:pt>
                <c:pt idx="4">
                  <c:v>rekenen &amp; wiskunde</c:v>
                </c:pt>
                <c:pt idx="5">
                  <c:v>eindresultaat</c:v>
                </c:pt>
                <c:pt idx="6">
                  <c:v>doublure</c:v>
                </c:pt>
                <c:pt idx="7">
                  <c:v>sociaal competent</c:v>
                </c:pt>
                <c:pt idx="8">
                  <c:v>plaatsing VO</c:v>
                </c:pt>
                <c:pt idx="9">
                  <c:v>positie VO na 3 jr. </c:v>
                </c:pt>
              </c:strCache>
            </c:strRef>
          </c:cat>
          <c:val>
            <c:numRef>
              <c:f>'RIO - M5'!$J$60:$S$60</c:f>
              <c:numCache>
                <c:formatCode>0%</c:formatCode>
                <c:ptCount val="10"/>
                <c:pt idx="0">
                  <c:v>0.66666666666666663</c:v>
                </c:pt>
                <c:pt idx="1">
                  <c:v>0.66666666666666663</c:v>
                </c:pt>
                <c:pt idx="2">
                  <c:v>0.33333333333333331</c:v>
                </c:pt>
                <c:pt idx="3">
                  <c:v>1</c:v>
                </c:pt>
                <c:pt idx="4">
                  <c:v>0.5</c:v>
                </c:pt>
                <c:pt idx="5">
                  <c:v>0.53333333333333333</c:v>
                </c:pt>
                <c:pt idx="6" formatCode="0.00%">
                  <c:v>0</c:v>
                </c:pt>
                <c:pt idx="7">
                  <c:v>1</c:v>
                </c:pt>
                <c:pt idx="8">
                  <c:v>0</c:v>
                </c:pt>
                <c:pt idx="9">
                  <c:v>0</c:v>
                </c:pt>
              </c:numCache>
            </c:numRef>
          </c:val>
        </c:ser>
        <c:dLbls>
          <c:showLegendKey val="0"/>
          <c:showVal val="0"/>
          <c:showCatName val="0"/>
          <c:showSerName val="0"/>
          <c:showPercent val="0"/>
          <c:showBubbleSize val="0"/>
        </c:dLbls>
        <c:gapWidth val="50"/>
        <c:axId val="219108032"/>
        <c:axId val="219108424"/>
      </c:barChart>
      <c:catAx>
        <c:axId val="21910803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nl-NL"/>
                  <a:t>resultaten per indicator</a:t>
                </a:r>
              </a:p>
            </c:rich>
          </c:tx>
          <c:layout>
            <c:manualLayout>
              <c:xMode val="edge"/>
              <c:yMode val="edge"/>
              <c:x val="0.41271700575000381"/>
              <c:y val="8.9285714285714281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nl-NL"/>
          </a:p>
        </c:txPr>
        <c:crossAx val="219108424"/>
        <c:crosses val="autoZero"/>
        <c:auto val="1"/>
        <c:lblAlgn val="ctr"/>
        <c:lblOffset val="100"/>
        <c:tickLblSkip val="1"/>
        <c:tickMarkSkip val="1"/>
        <c:noMultiLvlLbl val="0"/>
      </c:catAx>
      <c:valAx>
        <c:axId val="219108424"/>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nl-NL"/>
          </a:p>
        </c:txPr>
        <c:crossAx val="219108032"/>
        <c:crosses val="autoZero"/>
        <c:crossBetween val="between"/>
        <c:majorUnit val="0.2"/>
      </c:valAx>
      <c:spPr>
        <a:gradFill rotWithShape="0">
          <a:gsLst>
            <a:gs pos="0">
              <a:srgbClr val="FFFF00"/>
            </a:gs>
            <a:gs pos="100000">
              <a:srgbClr val="CCFFFF"/>
            </a:gs>
          </a:gsLst>
          <a:lin ang="5400000" scaled="1"/>
        </a:gra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000031250015257E-2"/>
          <c:y val="0.11111130556834112"/>
          <c:w val="0.79500038818378327"/>
          <c:h val="0.80466090645459942"/>
        </c:manualLayout>
      </c:layout>
      <c:barChart>
        <c:barDir val="col"/>
        <c:grouping val="clustered"/>
        <c:varyColors val="0"/>
        <c:ser>
          <c:idx val="1"/>
          <c:order val="1"/>
          <c:tx>
            <c:strRef>
              <c:f>'RIO - M5'!$J$71</c:f>
              <c:strCache>
                <c:ptCount val="1"/>
                <c:pt idx="0">
                  <c:v>Aanleg</c:v>
                </c:pt>
              </c:strCache>
            </c:strRef>
          </c:tx>
          <c:spPr>
            <a:gradFill rotWithShape="0">
              <a:gsLst>
                <a:gs pos="0">
                  <a:srgbClr val="3366FF"/>
                </a:gs>
                <a:gs pos="50000">
                  <a:srgbClr val="FFFFFF"/>
                </a:gs>
                <a:gs pos="100000">
                  <a:srgbClr val="3366FF"/>
                </a:gs>
              </a:gsLst>
              <a:lin ang="0" scaled="1"/>
            </a:gradFill>
            <a:ln w="12700">
              <a:solidFill>
                <a:srgbClr val="000000"/>
              </a:solidFill>
              <a:prstDash val="solid"/>
            </a:ln>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Lbls>
            <c:spPr>
              <a:noFill/>
              <a:ln w="25400">
                <a:noFill/>
              </a:ln>
            </c:spPr>
            <c:txPr>
              <a:bodyPr wrap="square" lIns="38100" tIns="19050" rIns="38100" bIns="19050" anchor="ctr">
                <a:spAutoFit/>
              </a:bodyPr>
              <a:lstStyle/>
              <a:p>
                <a:pPr>
                  <a:defRPr sz="1025"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M5'!$K$63:$O$63</c:f>
              <c:strCache>
                <c:ptCount val="5"/>
                <c:pt idx="0">
                  <c:v>A</c:v>
                </c:pt>
                <c:pt idx="1">
                  <c:v>B</c:v>
                </c:pt>
                <c:pt idx="2">
                  <c:v>C</c:v>
                </c:pt>
                <c:pt idx="3">
                  <c:v>D</c:v>
                </c:pt>
                <c:pt idx="4">
                  <c:v>E</c:v>
                </c:pt>
              </c:strCache>
            </c:strRef>
          </c:cat>
          <c:val>
            <c:numRef>
              <c:f>'RIO - M5'!$K$71:$O$71</c:f>
              <c:numCache>
                <c:formatCode>0%</c:formatCode>
                <c:ptCount val="5"/>
                <c:pt idx="0">
                  <c:v>0</c:v>
                </c:pt>
                <c:pt idx="1">
                  <c:v>0</c:v>
                </c:pt>
                <c:pt idx="2">
                  <c:v>1</c:v>
                </c:pt>
                <c:pt idx="3">
                  <c:v>0</c:v>
                </c:pt>
                <c:pt idx="4">
                  <c:v>0</c:v>
                </c:pt>
              </c:numCache>
            </c:numRef>
          </c:val>
        </c:ser>
        <c:ser>
          <c:idx val="2"/>
          <c:order val="2"/>
          <c:tx>
            <c:strRef>
              <c:f>'RIO - M5'!$J$72</c:f>
              <c:strCache>
                <c:ptCount val="1"/>
                <c:pt idx="0">
                  <c:v>Resultaat</c:v>
                </c:pt>
              </c:strCache>
            </c:strRef>
          </c:tx>
          <c:spPr>
            <a:gradFill rotWithShape="0">
              <a:gsLst>
                <a:gs pos="0">
                  <a:srgbClr val="FF9900"/>
                </a:gs>
                <a:gs pos="50000">
                  <a:srgbClr val="FFFFFF"/>
                </a:gs>
                <a:gs pos="100000">
                  <a:srgbClr val="FF9900"/>
                </a:gs>
              </a:gsLst>
              <a:lin ang="0" scaled="1"/>
            </a:gra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nl-N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'RIO - M5'!$K$63:$O$63</c:f>
              <c:strCache>
                <c:ptCount val="5"/>
                <c:pt idx="0">
                  <c:v>A</c:v>
                </c:pt>
                <c:pt idx="1">
                  <c:v>B</c:v>
                </c:pt>
                <c:pt idx="2">
                  <c:v>C</c:v>
                </c:pt>
                <c:pt idx="3">
                  <c:v>D</c:v>
                </c:pt>
                <c:pt idx="4">
                  <c:v>E</c:v>
                </c:pt>
              </c:strCache>
            </c:strRef>
          </c:cat>
          <c:val>
            <c:numRef>
              <c:f>'RIO - M5'!$K$72:$O$72</c:f>
              <c:numCache>
                <c:formatCode>0%</c:formatCode>
                <c:ptCount val="5"/>
                <c:pt idx="0">
                  <c:v>0</c:v>
                </c:pt>
                <c:pt idx="1">
                  <c:v>0</c:v>
                </c:pt>
                <c:pt idx="2">
                  <c:v>0.53333333333333333</c:v>
                </c:pt>
                <c:pt idx="3">
                  <c:v>0</c:v>
                </c:pt>
                <c:pt idx="4">
                  <c:v>0</c:v>
                </c:pt>
              </c:numCache>
            </c:numRef>
          </c:val>
        </c:ser>
        <c:dLbls>
          <c:showLegendKey val="0"/>
          <c:showVal val="0"/>
          <c:showCatName val="0"/>
          <c:showSerName val="0"/>
          <c:showPercent val="0"/>
          <c:showBubbleSize val="0"/>
        </c:dLbls>
        <c:gapWidth val="40"/>
        <c:axId val="219109208"/>
        <c:axId val="219109600"/>
      </c:barChart>
      <c:barChart>
        <c:barDir val="col"/>
        <c:grouping val="clustered"/>
        <c:varyColors val="0"/>
        <c:ser>
          <c:idx val="0"/>
          <c:order val="0"/>
          <c:tx>
            <c:strRef>
              <c:f>'RIO - M5'!$J$64</c:f>
              <c:strCache>
                <c:ptCount val="1"/>
                <c:pt idx="0">
                  <c:v>Norm</c:v>
                </c:pt>
              </c:strCache>
            </c:strRef>
          </c:tx>
          <c:spPr>
            <a:noFill/>
            <a:ln w="25400">
              <a:solidFill>
                <a:srgbClr val="000000"/>
              </a:solidFill>
              <a:prstDash val="solid"/>
            </a:ln>
          </c:spPr>
          <c:invertIfNegative val="0"/>
          <c:cat>
            <c:strRef>
              <c:f>'RIO - M5'!$K$63:$O$63</c:f>
              <c:strCache>
                <c:ptCount val="5"/>
                <c:pt idx="0">
                  <c:v>A</c:v>
                </c:pt>
                <c:pt idx="1">
                  <c:v>B</c:v>
                </c:pt>
                <c:pt idx="2">
                  <c:v>C</c:v>
                </c:pt>
                <c:pt idx="3">
                  <c:v>D</c:v>
                </c:pt>
                <c:pt idx="4">
                  <c:v>E</c:v>
                </c:pt>
              </c:strCache>
            </c:strRef>
          </c:cat>
          <c:val>
            <c:numRef>
              <c:f>'RIO - M5'!$K$64:$O$64</c:f>
              <c:numCache>
                <c:formatCode>0%</c:formatCode>
                <c:ptCount val="5"/>
                <c:pt idx="0">
                  <c:v>0.25</c:v>
                </c:pt>
                <c:pt idx="1">
                  <c:v>0.25</c:v>
                </c:pt>
                <c:pt idx="2">
                  <c:v>0.25</c:v>
                </c:pt>
                <c:pt idx="3">
                  <c:v>0.15</c:v>
                </c:pt>
                <c:pt idx="4">
                  <c:v>0.1</c:v>
                </c:pt>
              </c:numCache>
            </c:numRef>
          </c:val>
        </c:ser>
        <c:dLbls>
          <c:showLegendKey val="0"/>
          <c:showVal val="0"/>
          <c:showCatName val="0"/>
          <c:showSerName val="0"/>
          <c:showPercent val="0"/>
          <c:showBubbleSize val="0"/>
        </c:dLbls>
        <c:gapWidth val="20"/>
        <c:axId val="219109992"/>
        <c:axId val="229850936"/>
      </c:barChart>
      <c:catAx>
        <c:axId val="219109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19109600"/>
        <c:crosses val="autoZero"/>
        <c:auto val="1"/>
        <c:lblAlgn val="ctr"/>
        <c:lblOffset val="100"/>
        <c:tickLblSkip val="1"/>
        <c:tickMarkSkip val="1"/>
        <c:noMultiLvlLbl val="0"/>
      </c:catAx>
      <c:valAx>
        <c:axId val="219109600"/>
        <c:scaling>
          <c:orientation val="minMax"/>
          <c:max val="1"/>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1025" b="0" i="0" u="none" strike="noStrike" baseline="0">
                <a:solidFill>
                  <a:srgbClr val="000000"/>
                </a:solidFill>
                <a:latin typeface="Arial"/>
                <a:ea typeface="Arial"/>
                <a:cs typeface="Arial"/>
              </a:defRPr>
            </a:pPr>
            <a:endParaRPr lang="nl-NL"/>
          </a:p>
        </c:txPr>
        <c:crossAx val="219109208"/>
        <c:crosses val="autoZero"/>
        <c:crossBetween val="between"/>
        <c:majorUnit val="0.2"/>
      </c:valAx>
      <c:catAx>
        <c:axId val="219109992"/>
        <c:scaling>
          <c:orientation val="minMax"/>
        </c:scaling>
        <c:delete val="1"/>
        <c:axPos val="b"/>
        <c:title>
          <c:tx>
            <c:rich>
              <a:bodyPr/>
              <a:lstStyle/>
              <a:p>
                <a:pPr>
                  <a:defRPr sz="1025" b="1" i="0" u="none" strike="noStrike" baseline="0">
                    <a:solidFill>
                      <a:srgbClr val="000000"/>
                    </a:solidFill>
                    <a:latin typeface="Arial"/>
                    <a:ea typeface="Arial"/>
                    <a:cs typeface="Arial"/>
                  </a:defRPr>
                </a:pPr>
                <a:r>
                  <a:rPr lang="nl-NL"/>
                  <a:t>aanleg - resultaat</a:t>
                </a:r>
              </a:p>
            </c:rich>
          </c:tx>
          <c:layout>
            <c:manualLayout>
              <c:xMode val="edge"/>
              <c:yMode val="edge"/>
              <c:x val="0.39300020997375329"/>
              <c:y val="2.8673835125448029E-2"/>
            </c:manualLayout>
          </c:layout>
          <c:overlay val="0"/>
          <c:spPr>
            <a:noFill/>
            <a:ln w="25400">
              <a:noFill/>
            </a:ln>
          </c:spPr>
        </c:title>
        <c:numFmt formatCode="General" sourceLinked="1"/>
        <c:majorTickMark val="out"/>
        <c:minorTickMark val="none"/>
        <c:tickLblPos val="nextTo"/>
        <c:crossAx val="229850936"/>
        <c:crosses val="autoZero"/>
        <c:auto val="1"/>
        <c:lblAlgn val="ctr"/>
        <c:lblOffset val="100"/>
        <c:noMultiLvlLbl val="0"/>
      </c:catAx>
      <c:valAx>
        <c:axId val="229850936"/>
        <c:scaling>
          <c:orientation val="minMax"/>
        </c:scaling>
        <c:delete val="1"/>
        <c:axPos val="r"/>
        <c:numFmt formatCode="0%" sourceLinked="1"/>
        <c:majorTickMark val="out"/>
        <c:minorTickMark val="none"/>
        <c:tickLblPos val="nextTo"/>
        <c:crossAx val="219109992"/>
        <c:crosses val="max"/>
        <c:crossBetween val="between"/>
      </c:valAx>
      <c:spPr>
        <a:gradFill rotWithShape="0">
          <a:gsLst>
            <a:gs pos="0">
              <a:srgbClr val="FFFF00"/>
            </a:gs>
            <a:gs pos="100000">
              <a:srgbClr val="CCFFFF"/>
            </a:gs>
          </a:gsLst>
          <a:lin ang="5400000" scaled="1"/>
        </a:gradFill>
        <a:ln w="12700">
          <a:solidFill>
            <a:srgbClr val="808080"/>
          </a:solidFill>
          <a:prstDash val="solid"/>
        </a:ln>
      </c:spPr>
    </c:plotArea>
    <c:legend>
      <c:legendPos val="r"/>
      <c:layout>
        <c:manualLayout>
          <c:xMode val="edge"/>
          <c:yMode val="edge"/>
          <c:x val="0.90400041994750657"/>
          <c:y val="0.4301082794758182"/>
          <c:w val="8.2999999999999963E-2"/>
          <c:h val="0.12186398743167859"/>
        </c:manualLayout>
      </c:layout>
      <c:overlay val="0"/>
      <c:spPr>
        <a:solidFill>
          <a:srgbClr val="FFFFFF"/>
        </a:solidFill>
        <a:ln w="3175">
          <a:solidFill>
            <a:srgbClr val="000000"/>
          </a:solidFill>
          <a:prstDash val="solid"/>
        </a:ln>
      </c:spPr>
      <c:txPr>
        <a:bodyPr/>
        <a:lstStyle/>
        <a:p>
          <a:pPr>
            <a:defRPr sz="94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834862385321101E-2"/>
          <c:y val="1.0869584447153191E-2"/>
          <c:w val="0.73509174311926606"/>
          <c:h val="0.98188579505950491"/>
        </c:manualLayout>
      </c:layout>
      <c:barChart>
        <c:barDir val="col"/>
        <c:grouping val="clustered"/>
        <c:varyColors val="0"/>
        <c:ser>
          <c:idx val="0"/>
          <c:order val="0"/>
          <c:tx>
            <c:strRef>
              <c:f>'OP - M5'!$F$11</c:f>
              <c:strCache>
                <c:ptCount val="1"/>
                <c:pt idx="0">
                  <c:v>Technisch lezen</c:v>
                </c:pt>
              </c:strCache>
            </c:strRef>
          </c:tx>
          <c:spPr>
            <a:gradFill rotWithShape="0">
              <a:gsLst>
                <a:gs pos="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00" mc:Ignorable="a14" a14:legacySpreadsheetColorIndex="10">
                      <a:gamma/>
                      <a:shade val="46275"/>
                      <a:invGamma/>
                    </a:srgbClr>
                  </a:gs>
                  <a:gs pos="50000">
                    <a:srgbClr xmlns:mc="http://schemas.openxmlformats.org/markup-compatibility/2006" xmlns:a14="http://schemas.microsoft.com/office/drawing/2010/main" val="FF0000" mc:Ignorable="a14" a14:legacySpreadsheetColorIndex="10"/>
                  </a:gs>
                  <a:gs pos="100000">
                    <a:srgbClr xmlns:mc="http://schemas.openxmlformats.org/markup-compatibility/2006" xmlns:a14="http://schemas.microsoft.com/office/drawing/2010/main" val="760000" mc:Ignorable="a14" a14:legacySpreadsheetColorIndex="10">
                      <a:gamma/>
                      <a:shade val="46275"/>
                      <a:invGamma/>
                    </a:srgbClr>
                  </a:gs>
                </a:gsLst>
                <a:lin ang="0" scaled="1"/>
              </a:gradFill>
              <a:ln w="12700">
                <a:solidFill>
                  <a:srgbClr val="000000"/>
                </a:solidFill>
                <a:prstDash val="solid"/>
              </a:ln>
            </c:spPr>
          </c:dPt>
          <c:val>
            <c:numRef>
              <c:f>'OP - M5'!$F$12</c:f>
              <c:numCache>
                <c:formatCode>0%</c:formatCode>
                <c:ptCount val="1"/>
                <c:pt idx="0">
                  <c:v>1.1000000000000001</c:v>
                </c:pt>
              </c:numCache>
            </c:numRef>
          </c:val>
        </c:ser>
        <c:ser>
          <c:idx val="1"/>
          <c:order val="1"/>
          <c:tx>
            <c:strRef>
              <c:f>'OP - M5'!$G$11</c:f>
              <c:strCache>
                <c:ptCount val="1"/>
                <c:pt idx="0">
                  <c:v>Begrijpend lezen</c:v>
                </c:pt>
              </c:strCache>
            </c:strRef>
          </c:tx>
          <c:spPr>
            <a:gradFill rotWithShape="0">
              <a:gsLst>
                <a:gs pos="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0076" mc:Ignorable="a14" a14:legacySpreadsheetColorIndex="14">
                      <a:gamma/>
                      <a:shade val="46275"/>
                      <a:invGamma/>
                    </a:srgbClr>
                  </a:gs>
                  <a:gs pos="50000">
                    <a:srgbClr xmlns:mc="http://schemas.openxmlformats.org/markup-compatibility/2006" xmlns:a14="http://schemas.microsoft.com/office/drawing/2010/main" val="FF00FF" mc:Ignorable="a14" a14:legacySpreadsheetColorIndex="14"/>
                  </a:gs>
                  <a:gs pos="100000">
                    <a:srgbClr xmlns:mc="http://schemas.openxmlformats.org/markup-compatibility/2006" xmlns:a14="http://schemas.microsoft.com/office/drawing/2010/main" val="760076" mc:Ignorable="a14" a14:legacySpreadsheetColorIndex="14">
                      <a:gamma/>
                      <a:shade val="46275"/>
                      <a:invGamma/>
                    </a:srgbClr>
                  </a:gs>
                </a:gsLst>
                <a:lin ang="0" scaled="1"/>
              </a:gradFill>
              <a:ln w="12700">
                <a:solidFill>
                  <a:srgbClr val="000000"/>
                </a:solidFill>
                <a:prstDash val="solid"/>
              </a:ln>
            </c:spPr>
          </c:dPt>
          <c:val>
            <c:numRef>
              <c:f>'OP - M5'!$G$12</c:f>
              <c:numCache>
                <c:formatCode>0%</c:formatCode>
                <c:ptCount val="1"/>
                <c:pt idx="0">
                  <c:v>0.6</c:v>
                </c:pt>
              </c:numCache>
            </c:numRef>
          </c:val>
        </c:ser>
        <c:ser>
          <c:idx val="2"/>
          <c:order val="2"/>
          <c:tx>
            <c:strRef>
              <c:f>'OP - M5'!$H$11</c:f>
              <c:strCache>
                <c:ptCount val="1"/>
                <c:pt idx="0">
                  <c:v>Spellen</c:v>
                </c:pt>
              </c:strCache>
            </c:strRef>
          </c:tx>
          <c:spPr>
            <a:gradFill rotWithShape="0">
              <a:gsLst>
                <a:gs pos="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767600" mc:Ignorable="a14" a14:legacySpreadsheetColorIndex="13">
                      <a:gamma/>
                      <a:shade val="46275"/>
                      <a:invGamma/>
                    </a:srgbClr>
                  </a:gs>
                  <a:gs pos="50000">
                    <a:srgbClr xmlns:mc="http://schemas.openxmlformats.org/markup-compatibility/2006" xmlns:a14="http://schemas.microsoft.com/office/drawing/2010/main" val="FFFF00" mc:Ignorable="a14" a14:legacySpreadsheetColorIndex="13"/>
                  </a:gs>
                  <a:gs pos="100000">
                    <a:srgbClr xmlns:mc="http://schemas.openxmlformats.org/markup-compatibility/2006" xmlns:a14="http://schemas.microsoft.com/office/drawing/2010/main" val="767600" mc:Ignorable="a14" a14:legacySpreadsheetColorIndex="13">
                      <a:gamma/>
                      <a:shade val="46275"/>
                      <a:invGamma/>
                    </a:srgbClr>
                  </a:gs>
                </a:gsLst>
                <a:lin ang="0" scaled="1"/>
              </a:gradFill>
              <a:ln w="12700">
                <a:solidFill>
                  <a:srgbClr val="000000"/>
                </a:solidFill>
                <a:prstDash val="solid"/>
              </a:ln>
            </c:spPr>
          </c:dPt>
          <c:val>
            <c:numRef>
              <c:f>'OP - M5'!$H$12</c:f>
              <c:numCache>
                <c:formatCode>0%</c:formatCode>
                <c:ptCount val="1"/>
                <c:pt idx="0">
                  <c:v>0.32500000000000001</c:v>
                </c:pt>
              </c:numCache>
            </c:numRef>
          </c:val>
        </c:ser>
        <c:ser>
          <c:idx val="3"/>
          <c:order val="3"/>
          <c:tx>
            <c:strRef>
              <c:f>'OP - M5'!$I$11</c:f>
              <c:strCache>
                <c:ptCount val="1"/>
                <c:pt idx="0">
                  <c:v>Hoofdrekenen</c:v>
                </c:pt>
              </c:strCache>
            </c:strRef>
          </c:tx>
          <c:spPr>
            <a:gradFill rotWithShape="0">
              <a:gsLst>
                <a:gs pos="0">
                  <a:srgbClr xmlns:mc="http://schemas.openxmlformats.org/markup-compatibility/2006" xmlns:a14="http://schemas.microsoft.com/office/drawing/2010/main" val="00FF00" mc:Ignorable="a14" a14:legacySpreadsheetColorIndex="11"/>
                </a:gs>
                <a:gs pos="100000">
                  <a:srgbClr xmlns:mc="http://schemas.openxmlformats.org/markup-compatibility/2006" xmlns:a14="http://schemas.microsoft.com/office/drawing/2010/main" val="007600" mc:Ignorable="a14" a14:legacySpreadsheetColorIndex="11">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val="008000"/>
                  </a:gs>
                  <a:gs pos="50000">
                    <a:srgbClr val="00FF00"/>
                  </a:gs>
                  <a:gs pos="100000">
                    <a:srgbClr val="008000"/>
                  </a:gs>
                </a:gsLst>
                <a:lin ang="0" scaled="1"/>
              </a:gradFill>
              <a:ln w="12700">
                <a:solidFill>
                  <a:srgbClr val="000000"/>
                </a:solidFill>
                <a:prstDash val="solid"/>
              </a:ln>
            </c:spPr>
          </c:dPt>
          <c:val>
            <c:numRef>
              <c:f>'OP - M5'!$I$12</c:f>
              <c:numCache>
                <c:formatCode>0%</c:formatCode>
                <c:ptCount val="1"/>
                <c:pt idx="0">
                  <c:v>0</c:v>
                </c:pt>
              </c:numCache>
            </c:numRef>
          </c:val>
        </c:ser>
        <c:ser>
          <c:idx val="4"/>
          <c:order val="4"/>
          <c:tx>
            <c:strRef>
              <c:f>'OP - M5'!$J$11</c:f>
              <c:strCache>
                <c:ptCount val="1"/>
                <c:pt idx="0">
                  <c:v>Rekenen &amp; wiskunde</c:v>
                </c:pt>
              </c:strCache>
            </c:strRef>
          </c:tx>
          <c:spPr>
            <a:gradFill rotWithShape="0">
              <a:gsLst>
                <a:gs pos="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invertIfNegative val="0"/>
          <c:dPt>
            <c:idx val="0"/>
            <c:invertIfNegative val="0"/>
            <c:bubble3D val="0"/>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0" scaled="1"/>
              </a:gradFill>
              <a:ln w="12700">
                <a:solidFill>
                  <a:srgbClr val="000000"/>
                </a:solidFill>
                <a:prstDash val="solid"/>
              </a:ln>
            </c:spPr>
          </c:dPt>
          <c:val>
            <c:numRef>
              <c:f>'OP - M5'!$J$12</c:f>
              <c:numCache>
                <c:formatCode>0%</c:formatCode>
                <c:ptCount val="1"/>
                <c:pt idx="0">
                  <c:v>0</c:v>
                </c:pt>
              </c:numCache>
            </c:numRef>
          </c:val>
        </c:ser>
        <c:dLbls>
          <c:showLegendKey val="0"/>
          <c:showVal val="0"/>
          <c:showCatName val="0"/>
          <c:showSerName val="0"/>
          <c:showPercent val="0"/>
          <c:showBubbleSize val="0"/>
        </c:dLbls>
        <c:gapWidth val="50"/>
        <c:overlap val="-50"/>
        <c:axId val="229851720"/>
        <c:axId val="229852112"/>
      </c:barChart>
      <c:barChart>
        <c:barDir val="col"/>
        <c:grouping val="clustered"/>
        <c:varyColors val="0"/>
        <c:ser>
          <c:idx val="6"/>
          <c:order val="5"/>
          <c:tx>
            <c:strRef>
              <c:f>'OP - M5'!$K$11</c:f>
              <c:strCache>
                <c:ptCount val="1"/>
                <c:pt idx="0">
                  <c:v>80% Norm</c:v>
                </c:pt>
              </c:strCache>
            </c:strRef>
          </c:tx>
          <c:spPr>
            <a:noFill/>
            <a:ln w="38100">
              <a:solidFill>
                <a:srgbClr val="FF0000"/>
              </a:solidFill>
              <a:prstDash val="solid"/>
            </a:ln>
          </c:spPr>
          <c:invertIfNegative val="0"/>
          <c:val>
            <c:numRef>
              <c:f>'OP - M5'!$K$12</c:f>
              <c:numCache>
                <c:formatCode>0%</c:formatCode>
                <c:ptCount val="1"/>
                <c:pt idx="0">
                  <c:v>0.48</c:v>
                </c:pt>
              </c:numCache>
            </c:numRef>
          </c:val>
        </c:ser>
        <c:ser>
          <c:idx val="5"/>
          <c:order val="6"/>
          <c:tx>
            <c:strRef>
              <c:f>'OP - M5'!$L$11</c:f>
              <c:strCache>
                <c:ptCount val="1"/>
                <c:pt idx="0">
                  <c:v>Profiel</c:v>
                </c:pt>
              </c:strCache>
            </c:strRef>
          </c:tx>
          <c:spPr>
            <a:noFill/>
            <a:ln w="38100">
              <a:solidFill>
                <a:srgbClr val="0000FF"/>
              </a:solidFill>
              <a:prstDash val="solid"/>
            </a:ln>
          </c:spPr>
          <c:invertIfNegative val="0"/>
          <c:val>
            <c:numRef>
              <c:f>'OP - M5'!$L$12</c:f>
              <c:numCache>
                <c:formatCode>0%</c:formatCode>
                <c:ptCount val="1"/>
                <c:pt idx="0">
                  <c:v>0.6</c:v>
                </c:pt>
              </c:numCache>
            </c:numRef>
          </c:val>
        </c:ser>
        <c:dLbls>
          <c:showLegendKey val="0"/>
          <c:showVal val="0"/>
          <c:showCatName val="0"/>
          <c:showSerName val="0"/>
          <c:showPercent val="0"/>
          <c:showBubbleSize val="0"/>
        </c:dLbls>
        <c:gapWidth val="0"/>
        <c:overlap val="100"/>
        <c:axId val="229852504"/>
        <c:axId val="229852896"/>
      </c:barChart>
      <c:catAx>
        <c:axId val="229851720"/>
        <c:scaling>
          <c:orientation val="minMax"/>
        </c:scaling>
        <c:delete val="1"/>
        <c:axPos val="b"/>
        <c:majorTickMark val="out"/>
        <c:minorTickMark val="none"/>
        <c:tickLblPos val="nextTo"/>
        <c:crossAx val="229852112"/>
        <c:crossesAt val="0"/>
        <c:auto val="1"/>
        <c:lblAlgn val="ctr"/>
        <c:lblOffset val="100"/>
        <c:noMultiLvlLbl val="0"/>
      </c:catAx>
      <c:valAx>
        <c:axId val="229852112"/>
        <c:scaling>
          <c:orientation val="minMax"/>
          <c:max val="1.2"/>
          <c:min val="0"/>
        </c:scaling>
        <c:delete val="1"/>
        <c:axPos val="l"/>
        <c:majorGridlines>
          <c:spPr>
            <a:ln w="3175">
              <a:solidFill>
                <a:srgbClr val="000000"/>
              </a:solidFill>
              <a:prstDash val="solid"/>
            </a:ln>
          </c:spPr>
        </c:majorGridlines>
        <c:numFmt formatCode="0%" sourceLinked="1"/>
        <c:majorTickMark val="out"/>
        <c:minorTickMark val="none"/>
        <c:tickLblPos val="nextTo"/>
        <c:crossAx val="229851720"/>
        <c:crosses val="autoZero"/>
        <c:crossBetween val="between"/>
        <c:majorUnit val="0.2"/>
        <c:minorUnit val="0.04"/>
      </c:valAx>
      <c:catAx>
        <c:axId val="229852504"/>
        <c:scaling>
          <c:orientation val="minMax"/>
        </c:scaling>
        <c:delete val="1"/>
        <c:axPos val="b"/>
        <c:majorTickMark val="out"/>
        <c:minorTickMark val="none"/>
        <c:tickLblPos val="nextTo"/>
        <c:crossAx val="229852896"/>
        <c:crosses val="autoZero"/>
        <c:auto val="1"/>
        <c:lblAlgn val="ctr"/>
        <c:lblOffset val="100"/>
        <c:noMultiLvlLbl val="0"/>
      </c:catAx>
      <c:valAx>
        <c:axId val="229852896"/>
        <c:scaling>
          <c:orientation val="minMax"/>
        </c:scaling>
        <c:delete val="1"/>
        <c:axPos val="r"/>
        <c:numFmt formatCode="0%" sourceLinked="1"/>
        <c:majorTickMark val="out"/>
        <c:minorTickMark val="none"/>
        <c:tickLblPos val="nextTo"/>
        <c:crossAx val="229852504"/>
        <c:crosses val="max"/>
        <c:crossBetween val="between"/>
      </c:valAx>
      <c:spPr>
        <a:gradFill rotWithShape="0">
          <a:gsLst>
            <a:gs pos="0">
              <a:srgbClr val="CCFFFF"/>
            </a:gs>
            <a:gs pos="100000">
              <a:srgbClr val="CCCCFF"/>
            </a:gs>
          </a:gsLst>
          <a:lin ang="5400000" scaled="1"/>
        </a:gradFill>
        <a:ln w="12700">
          <a:solidFill>
            <a:srgbClr val="808080"/>
          </a:solidFill>
          <a:prstDash val="solid"/>
        </a:ln>
      </c:spPr>
    </c:plotArea>
    <c:legend>
      <c:legendPos val="r"/>
      <c:layout>
        <c:manualLayout>
          <c:xMode val="edge"/>
          <c:yMode val="edge"/>
          <c:x val="0.76261467889908252"/>
          <c:y val="1.9927536231884056E-2"/>
          <c:w val="0.2259174311926605"/>
          <c:h val="0.41304423903533793"/>
        </c:manualLayout>
      </c:layout>
      <c:overlay val="0"/>
      <c:spPr>
        <a:solidFill>
          <a:srgbClr val="FFFFFF"/>
        </a:solidFill>
        <a:ln w="25400">
          <a:noFill/>
        </a:ln>
      </c:spPr>
      <c:txPr>
        <a:bodyPr/>
        <a:lstStyle/>
        <a:p>
          <a:pPr>
            <a:defRPr sz="1100" b="0" i="0" u="none" strike="noStrike" baseline="0">
              <a:solidFill>
                <a:srgbClr val="000000"/>
              </a:solidFill>
              <a:latin typeface="Arial"/>
              <a:ea typeface="Arial"/>
              <a:cs typeface="Arial"/>
            </a:defRPr>
          </a:pPr>
          <a:endParaRPr lang="nl-NL"/>
        </a:p>
      </c:txPr>
    </c:legend>
    <c:plotVisOnly val="1"/>
    <c:dispBlanksAs val="gap"/>
    <c:showDLblsOverMax val="0"/>
  </c:chart>
  <c:spPr>
    <a:solidFill>
      <a:srgbClr val="FFFFFF"/>
    </a:solidFill>
    <a:ln w="3175">
      <a:solidFill>
        <a:srgbClr val="000000"/>
      </a:solidFill>
      <a:prstDash val="solid"/>
    </a:ln>
  </c:spPr>
  <c:txPr>
    <a:bodyPr/>
    <a:lstStyle/>
    <a:p>
      <a:pPr>
        <a:defRPr sz="1525" b="0" i="0" u="none" strike="noStrike" baseline="0">
          <a:solidFill>
            <a:srgbClr val="000000"/>
          </a:solidFill>
          <a:latin typeface="Arial"/>
          <a:ea typeface="Arial"/>
          <a:cs typeface="Arial"/>
        </a:defRPr>
      </a:pPr>
      <a:endParaRPr lang="nl-NL"/>
    </a:p>
  </c:txPr>
  <c:printSettings>
    <c:headerFooter alignWithMargins="0"/>
    <c:pageMargins b="1" l="0.75" r="0.75" t="1" header="0.5" footer="0.5"/>
    <c:pageSetup paperSize="9" orientation="landscape" horizontalDpi="-3" verticalDpi="0"/>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NW - E6'!A1"/><Relationship Id="rId13" Type="http://schemas.openxmlformats.org/officeDocument/2006/relationships/hyperlink" Target="#'Lijn-Profiel per vak'!A1"/><Relationship Id="rId3" Type="http://schemas.openxmlformats.org/officeDocument/2006/relationships/hyperlink" Target="#BEGINBLAD!A1"/><Relationship Id="rId7" Type="http://schemas.openxmlformats.org/officeDocument/2006/relationships/hyperlink" Target="#'NW - M5'!A1"/><Relationship Id="rId12" Type="http://schemas.openxmlformats.org/officeDocument/2006/relationships/hyperlink" Target="#'NW - M8'!A1"/><Relationship Id="rId2" Type="http://schemas.openxmlformats.org/officeDocument/2006/relationships/hyperlink" Target="#'Lijn-TOPP'!A1"/><Relationship Id="rId1" Type="http://schemas.openxmlformats.org/officeDocument/2006/relationships/image" Target="../media/image1.png"/><Relationship Id="rId6" Type="http://schemas.openxmlformats.org/officeDocument/2006/relationships/hyperlink" Target="#'NW - E5'!A1"/><Relationship Id="rId11" Type="http://schemas.openxmlformats.org/officeDocument/2006/relationships/hyperlink" Target="#'NW - M7'!A1"/><Relationship Id="rId5" Type="http://schemas.openxmlformats.org/officeDocument/2006/relationships/hyperlink" Target="#'NW - M4'!A1"/><Relationship Id="rId15" Type="http://schemas.openxmlformats.org/officeDocument/2006/relationships/hyperlink" Target="#'Staaf-Profiel per vak'!A1"/><Relationship Id="rId10" Type="http://schemas.openxmlformats.org/officeDocument/2006/relationships/hyperlink" Target="#'NW - E7'!A1"/><Relationship Id="rId4" Type="http://schemas.openxmlformats.org/officeDocument/2006/relationships/hyperlink" Target="#'NW - E4'!A1"/><Relationship Id="rId9" Type="http://schemas.openxmlformats.org/officeDocument/2006/relationships/hyperlink" Target="#'NW - M6'!A1"/><Relationship Id="rId14" Type="http://schemas.openxmlformats.org/officeDocument/2006/relationships/hyperlink" Target="#'Staaf-TOPP'!A1"/></Relationships>
</file>

<file path=xl/drawings/_rels/drawing10.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9.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11.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12.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11.xml"/><Relationship Id="rId1" Type="http://schemas.openxmlformats.org/officeDocument/2006/relationships/chart" Target="../charts/chart10.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13.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12.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14.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15.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16.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15.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17.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18.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19.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18.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2.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20.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21.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22.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21.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23.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24.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25.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24.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26.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27.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28.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27.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29.xml.rels><?xml version="1.0" encoding="UTF-8" standalone="yes"?>
<Relationships xmlns="http://schemas.openxmlformats.org/package/2006/relationships"><Relationship Id="rId8" Type="http://schemas.openxmlformats.org/officeDocument/2006/relationships/hyperlink" Target="#BEGINBLAD!A1"/><Relationship Id="rId13" Type="http://schemas.openxmlformats.org/officeDocument/2006/relationships/hyperlink" Target="#'NW - E6'!A1"/><Relationship Id="rId18" Type="http://schemas.openxmlformats.org/officeDocument/2006/relationships/hyperlink" Target="#'Staaf-TOPP'!A1"/><Relationship Id="rId3" Type="http://schemas.openxmlformats.org/officeDocument/2006/relationships/chart" Target="../charts/chart30.xml"/><Relationship Id="rId7" Type="http://schemas.openxmlformats.org/officeDocument/2006/relationships/hyperlink" Target="#'Lijn-TOPP'!A1"/><Relationship Id="rId12" Type="http://schemas.openxmlformats.org/officeDocument/2006/relationships/hyperlink" Target="#'NW - M5'!A1"/><Relationship Id="rId17" Type="http://schemas.openxmlformats.org/officeDocument/2006/relationships/hyperlink" Target="#'NW - M8'!A1"/><Relationship Id="rId2" Type="http://schemas.openxmlformats.org/officeDocument/2006/relationships/chart" Target="../charts/chart29.xml"/><Relationship Id="rId16" Type="http://schemas.openxmlformats.org/officeDocument/2006/relationships/hyperlink" Target="#'NW - M7'!A1"/><Relationship Id="rId1" Type="http://schemas.openxmlformats.org/officeDocument/2006/relationships/chart" Target="../charts/chart28.xml"/><Relationship Id="rId6" Type="http://schemas.openxmlformats.org/officeDocument/2006/relationships/chart" Target="../charts/chart33.xml"/><Relationship Id="rId11" Type="http://schemas.openxmlformats.org/officeDocument/2006/relationships/hyperlink" Target="#'NW - E5'!A1"/><Relationship Id="rId5" Type="http://schemas.openxmlformats.org/officeDocument/2006/relationships/chart" Target="../charts/chart32.xml"/><Relationship Id="rId15" Type="http://schemas.openxmlformats.org/officeDocument/2006/relationships/hyperlink" Target="#'NW - E7'!A1"/><Relationship Id="rId10" Type="http://schemas.openxmlformats.org/officeDocument/2006/relationships/hyperlink" Target="#'NW - M4'!A1"/><Relationship Id="rId4" Type="http://schemas.openxmlformats.org/officeDocument/2006/relationships/chart" Target="../charts/chart31.xml"/><Relationship Id="rId9" Type="http://schemas.openxmlformats.org/officeDocument/2006/relationships/hyperlink" Target="#'NW - E4'!A1"/><Relationship Id="rId14" Type="http://schemas.openxmlformats.org/officeDocument/2006/relationships/hyperlink" Target="#'NW - M6'!A1"/></Relationships>
</file>

<file path=xl/drawings/_rels/drawing3.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30.xml.rels><?xml version="1.0" encoding="UTF-8" standalone="yes"?>
<Relationships xmlns="http://schemas.openxmlformats.org/package/2006/relationships"><Relationship Id="rId8" Type="http://schemas.openxmlformats.org/officeDocument/2006/relationships/hyperlink" Target="#BEGINBLAD!A1"/><Relationship Id="rId13" Type="http://schemas.openxmlformats.org/officeDocument/2006/relationships/hyperlink" Target="#'NW - E6'!A1"/><Relationship Id="rId18" Type="http://schemas.openxmlformats.org/officeDocument/2006/relationships/hyperlink" Target="#'Staaf-TOPP'!A1"/><Relationship Id="rId3" Type="http://schemas.openxmlformats.org/officeDocument/2006/relationships/chart" Target="../charts/chart36.xml"/><Relationship Id="rId7" Type="http://schemas.openxmlformats.org/officeDocument/2006/relationships/hyperlink" Target="#'Lijn-TOPP'!A1"/><Relationship Id="rId12" Type="http://schemas.openxmlformats.org/officeDocument/2006/relationships/hyperlink" Target="#'NW - M5'!A1"/><Relationship Id="rId17" Type="http://schemas.openxmlformats.org/officeDocument/2006/relationships/hyperlink" Target="#'NW - M8'!A1"/><Relationship Id="rId2" Type="http://schemas.openxmlformats.org/officeDocument/2006/relationships/chart" Target="../charts/chart35.xml"/><Relationship Id="rId16" Type="http://schemas.openxmlformats.org/officeDocument/2006/relationships/hyperlink" Target="#'NW - M7'!A1"/><Relationship Id="rId1" Type="http://schemas.openxmlformats.org/officeDocument/2006/relationships/chart" Target="../charts/chart34.xml"/><Relationship Id="rId6" Type="http://schemas.openxmlformats.org/officeDocument/2006/relationships/chart" Target="../charts/chart39.xml"/><Relationship Id="rId11" Type="http://schemas.openxmlformats.org/officeDocument/2006/relationships/hyperlink" Target="#'NW - E5'!A1"/><Relationship Id="rId5" Type="http://schemas.openxmlformats.org/officeDocument/2006/relationships/chart" Target="../charts/chart38.xml"/><Relationship Id="rId15" Type="http://schemas.openxmlformats.org/officeDocument/2006/relationships/hyperlink" Target="#'NW - E7'!A1"/><Relationship Id="rId10" Type="http://schemas.openxmlformats.org/officeDocument/2006/relationships/hyperlink" Target="#'NW - M4'!A1"/><Relationship Id="rId4" Type="http://schemas.openxmlformats.org/officeDocument/2006/relationships/chart" Target="../charts/chart37.xml"/><Relationship Id="rId9" Type="http://schemas.openxmlformats.org/officeDocument/2006/relationships/hyperlink" Target="#'NW - E4'!A1"/><Relationship Id="rId14" Type="http://schemas.openxmlformats.org/officeDocument/2006/relationships/hyperlink" Target="#'NW - M6'!A1"/></Relationships>
</file>

<file path=xl/drawings/_rels/drawing31.xml.rels><?xml version="1.0" encoding="UTF-8" standalone="yes"?>
<Relationships xmlns="http://schemas.openxmlformats.org/package/2006/relationships"><Relationship Id="rId8" Type="http://schemas.openxmlformats.org/officeDocument/2006/relationships/hyperlink" Target="#'NW - E6'!A1"/><Relationship Id="rId13" Type="http://schemas.openxmlformats.org/officeDocument/2006/relationships/hyperlink" Target="#'Lijn-Profiel per vak'!A1"/><Relationship Id="rId3" Type="http://schemas.openxmlformats.org/officeDocument/2006/relationships/hyperlink" Target="#BEGINBLAD!A1"/><Relationship Id="rId7" Type="http://schemas.openxmlformats.org/officeDocument/2006/relationships/hyperlink" Target="#'NW - M5'!A1"/><Relationship Id="rId12" Type="http://schemas.openxmlformats.org/officeDocument/2006/relationships/hyperlink" Target="#'NW - M8'!A1"/><Relationship Id="rId2" Type="http://schemas.openxmlformats.org/officeDocument/2006/relationships/hyperlink" Target="#'Lijn-TOPP'!A1"/><Relationship Id="rId1" Type="http://schemas.openxmlformats.org/officeDocument/2006/relationships/chart" Target="../charts/chart40.xml"/><Relationship Id="rId6" Type="http://schemas.openxmlformats.org/officeDocument/2006/relationships/hyperlink" Target="#'NW - E5'!A1"/><Relationship Id="rId11" Type="http://schemas.openxmlformats.org/officeDocument/2006/relationships/hyperlink" Target="#'NW - M7'!A1"/><Relationship Id="rId5" Type="http://schemas.openxmlformats.org/officeDocument/2006/relationships/hyperlink" Target="#'NW - M4'!A1"/><Relationship Id="rId15" Type="http://schemas.openxmlformats.org/officeDocument/2006/relationships/hyperlink" Target="#'Staaf-Profiel per vak'!A1"/><Relationship Id="rId10" Type="http://schemas.openxmlformats.org/officeDocument/2006/relationships/hyperlink" Target="#'NW - E7'!A1"/><Relationship Id="rId4" Type="http://schemas.openxmlformats.org/officeDocument/2006/relationships/hyperlink" Target="#'NW - E4'!A1"/><Relationship Id="rId9" Type="http://schemas.openxmlformats.org/officeDocument/2006/relationships/hyperlink" Target="#'NW - M6'!A1"/><Relationship Id="rId14" Type="http://schemas.openxmlformats.org/officeDocument/2006/relationships/hyperlink" Target="#'Staaf-TOPP'!A1"/></Relationships>
</file>

<file path=xl/drawings/_rels/drawing32.xml.rels><?xml version="1.0" encoding="UTF-8" standalone="yes"?>
<Relationships xmlns="http://schemas.openxmlformats.org/package/2006/relationships"><Relationship Id="rId8" Type="http://schemas.openxmlformats.org/officeDocument/2006/relationships/hyperlink" Target="#'NW - E6'!A1"/><Relationship Id="rId13" Type="http://schemas.openxmlformats.org/officeDocument/2006/relationships/hyperlink" Target="#'Lijn-Profiel per vak'!A1"/><Relationship Id="rId3" Type="http://schemas.openxmlformats.org/officeDocument/2006/relationships/hyperlink" Target="#BEGINBLAD!A1"/><Relationship Id="rId7" Type="http://schemas.openxmlformats.org/officeDocument/2006/relationships/hyperlink" Target="#'NW - M5'!A1"/><Relationship Id="rId12" Type="http://schemas.openxmlformats.org/officeDocument/2006/relationships/hyperlink" Target="#'NW - M8'!A1"/><Relationship Id="rId2" Type="http://schemas.openxmlformats.org/officeDocument/2006/relationships/hyperlink" Target="#'Lijn-TOPP'!A1"/><Relationship Id="rId1" Type="http://schemas.openxmlformats.org/officeDocument/2006/relationships/chart" Target="../charts/chart41.xml"/><Relationship Id="rId6" Type="http://schemas.openxmlformats.org/officeDocument/2006/relationships/hyperlink" Target="#'NW - E5'!A1"/><Relationship Id="rId11" Type="http://schemas.openxmlformats.org/officeDocument/2006/relationships/hyperlink" Target="#'NW - M7'!A1"/><Relationship Id="rId5" Type="http://schemas.openxmlformats.org/officeDocument/2006/relationships/hyperlink" Target="#'NW - M4'!A1"/><Relationship Id="rId15" Type="http://schemas.openxmlformats.org/officeDocument/2006/relationships/hyperlink" Target="#'Staaf-Profiel per vak'!A1"/><Relationship Id="rId10" Type="http://schemas.openxmlformats.org/officeDocument/2006/relationships/hyperlink" Target="#'NW - E7'!A1"/><Relationship Id="rId4" Type="http://schemas.openxmlformats.org/officeDocument/2006/relationships/hyperlink" Target="#'NW - E4'!A1"/><Relationship Id="rId9" Type="http://schemas.openxmlformats.org/officeDocument/2006/relationships/hyperlink" Target="#'NW - M6'!A1"/><Relationship Id="rId14" Type="http://schemas.openxmlformats.org/officeDocument/2006/relationships/hyperlink" Target="#'Staaf-TOPP'!A1"/></Relationships>
</file>

<file path=xl/drawings/_rels/drawing4.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3.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5.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6.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_rels/drawing7.xml.rels><?xml version="1.0" encoding="UTF-8" standalone="yes"?>
<Relationships xmlns="http://schemas.openxmlformats.org/package/2006/relationships"><Relationship Id="rId3" Type="http://schemas.openxmlformats.org/officeDocument/2006/relationships/hyperlink" Target="#BEGINBLAD!A1"/><Relationship Id="rId2" Type="http://schemas.openxmlformats.org/officeDocument/2006/relationships/hyperlink" Target="#'Lijn-TOPP'!A1"/><Relationship Id="rId1" Type="http://schemas.openxmlformats.org/officeDocument/2006/relationships/chart" Target="../charts/chart6.xml"/><Relationship Id="rId6" Type="http://schemas.openxmlformats.org/officeDocument/2006/relationships/hyperlink" Target="#'Staaf-Profiel per vak'!A1"/><Relationship Id="rId5" Type="http://schemas.openxmlformats.org/officeDocument/2006/relationships/hyperlink" Target="#'Staaf-TOPP'!A1"/><Relationship Id="rId4" Type="http://schemas.openxmlformats.org/officeDocument/2006/relationships/hyperlink" Target="#'Lijn-Profiel per vak'!A1"/></Relationships>
</file>

<file path=xl/drawings/_rels/drawing8.xml.rels><?xml version="1.0" encoding="UTF-8" standalone="yes"?>
<Relationships xmlns="http://schemas.openxmlformats.org/package/2006/relationships"><Relationship Id="rId8" Type="http://schemas.openxmlformats.org/officeDocument/2006/relationships/hyperlink" Target="#'NW - M6'!A1"/><Relationship Id="rId13" Type="http://schemas.openxmlformats.org/officeDocument/2006/relationships/hyperlink" Target="#'Staaf-TOPP'!A1"/><Relationship Id="rId3" Type="http://schemas.openxmlformats.org/officeDocument/2006/relationships/hyperlink" Target="#'NW - E4'!A1"/><Relationship Id="rId7" Type="http://schemas.openxmlformats.org/officeDocument/2006/relationships/hyperlink" Target="#'NW - E6'!A1"/><Relationship Id="rId12" Type="http://schemas.openxmlformats.org/officeDocument/2006/relationships/hyperlink" Target="#'Lijn-Profiel per vak'!A1"/><Relationship Id="rId2" Type="http://schemas.openxmlformats.org/officeDocument/2006/relationships/hyperlink" Target="#BEGINBLAD!A1"/><Relationship Id="rId1" Type="http://schemas.openxmlformats.org/officeDocument/2006/relationships/hyperlink" Target="#'Lijn-TOPP'!A1"/><Relationship Id="rId6" Type="http://schemas.openxmlformats.org/officeDocument/2006/relationships/hyperlink" Target="#'NW - M5'!A1"/><Relationship Id="rId11" Type="http://schemas.openxmlformats.org/officeDocument/2006/relationships/hyperlink" Target="#'NW - M8'!A1"/><Relationship Id="rId5" Type="http://schemas.openxmlformats.org/officeDocument/2006/relationships/hyperlink" Target="#'NW - E5'!A1"/><Relationship Id="rId10" Type="http://schemas.openxmlformats.org/officeDocument/2006/relationships/hyperlink" Target="#'NW - M7'!A1"/><Relationship Id="rId4" Type="http://schemas.openxmlformats.org/officeDocument/2006/relationships/hyperlink" Target="#'NW - M4'!A1"/><Relationship Id="rId9" Type="http://schemas.openxmlformats.org/officeDocument/2006/relationships/hyperlink" Target="#'NW - E7'!A1"/><Relationship Id="rId14" Type="http://schemas.openxmlformats.org/officeDocument/2006/relationships/hyperlink" Target="#'Staaf-Profiel per vak'!A1"/></Relationships>
</file>

<file path=xl/drawings/_rels/drawing9.xml.rels><?xml version="1.0" encoding="UTF-8" standalone="yes"?>
<Relationships xmlns="http://schemas.openxmlformats.org/package/2006/relationships"><Relationship Id="rId3" Type="http://schemas.openxmlformats.org/officeDocument/2006/relationships/hyperlink" Target="#'Lijn-TOPP'!A1"/><Relationship Id="rId7" Type="http://schemas.openxmlformats.org/officeDocument/2006/relationships/hyperlink" Target="#'Staaf-Profiel per vak'!A1"/><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hyperlink" Target="#'Lijn-Profiel per vak'!A1"/><Relationship Id="rId5" Type="http://schemas.openxmlformats.org/officeDocument/2006/relationships/hyperlink" Target="#'Staaf-TOPP'!A1"/><Relationship Id="rId4" Type="http://schemas.openxmlformats.org/officeDocument/2006/relationships/hyperlink" Target="#BEGINBLAD!A1"/></Relationships>
</file>

<file path=xl/drawings/drawing1.xml><?xml version="1.0" encoding="utf-8"?>
<xdr:wsDr xmlns:xdr="http://schemas.openxmlformats.org/drawingml/2006/spreadsheetDrawing" xmlns:a="http://schemas.openxmlformats.org/drawingml/2006/main">
  <xdr:twoCellAnchor editAs="oneCell">
    <xdr:from>
      <xdr:col>10</xdr:col>
      <xdr:colOff>9525</xdr:colOff>
      <xdr:row>4</xdr:row>
      <xdr:rowOff>266700</xdr:rowOff>
    </xdr:from>
    <xdr:to>
      <xdr:col>16</xdr:col>
      <xdr:colOff>390525</xdr:colOff>
      <xdr:row>10</xdr:row>
      <xdr:rowOff>171450</xdr:rowOff>
    </xdr:to>
    <xdr:pic>
      <xdr:nvPicPr>
        <xdr:cNvPr id="63869" name="Picture 12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77025" y="1076325"/>
          <a:ext cx="32766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358028</xdr:colOff>
      <xdr:row>7</xdr:row>
      <xdr:rowOff>81243</xdr:rowOff>
    </xdr:from>
    <xdr:to>
      <xdr:col>6</xdr:col>
      <xdr:colOff>179513</xdr:colOff>
      <xdr:row>9</xdr:row>
      <xdr:rowOff>43144</xdr:rowOff>
    </xdr:to>
    <xdr:sp macro="" textlink="">
      <xdr:nvSpPr>
        <xdr:cNvPr id="63641" name="AutoShape 153">
          <a:hlinkClick xmlns:r="http://schemas.openxmlformats.org/officeDocument/2006/relationships" r:id="rId2"/>
        </xdr:cNvPr>
        <xdr:cNvSpPr>
          <a:spLocks noChangeArrowheads="1"/>
        </xdr:cNvSpPr>
      </xdr:nvSpPr>
      <xdr:spPr bwMode="auto">
        <a:xfrm>
          <a:off x="4055969" y="1650067"/>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3</xdr:col>
      <xdr:colOff>361949</xdr:colOff>
      <xdr:row>5</xdr:row>
      <xdr:rowOff>47625</xdr:rowOff>
    </xdr:from>
    <xdr:to>
      <xdr:col>8</xdr:col>
      <xdr:colOff>313764</xdr:colOff>
      <xdr:row>7</xdr:row>
      <xdr:rowOff>9525</xdr:rowOff>
    </xdr:to>
    <xdr:sp macro="" textlink="">
      <xdr:nvSpPr>
        <xdr:cNvPr id="63642" name="AutoShape 154">
          <a:hlinkClick xmlns:r="http://schemas.openxmlformats.org/officeDocument/2006/relationships" r:id="rId3"/>
        </xdr:cNvPr>
        <xdr:cNvSpPr>
          <a:spLocks noChangeArrowheads="1"/>
        </xdr:cNvSpPr>
      </xdr:nvSpPr>
      <xdr:spPr bwMode="auto">
        <a:xfrm>
          <a:off x="4059890" y="1123390"/>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6</xdr:col>
      <xdr:colOff>257175</xdr:colOff>
      <xdr:row>11</xdr:row>
      <xdr:rowOff>152967</xdr:rowOff>
    </xdr:from>
    <xdr:to>
      <xdr:col>8</xdr:col>
      <xdr:colOff>302777</xdr:colOff>
      <xdr:row>13</xdr:row>
      <xdr:rowOff>114866</xdr:rowOff>
    </xdr:to>
    <xdr:sp macro="" textlink="">
      <xdr:nvSpPr>
        <xdr:cNvPr id="63643" name="AutoShape 155">
          <a:hlinkClick xmlns:r="http://schemas.openxmlformats.org/officeDocument/2006/relationships" r:id="rId4"/>
        </xdr:cNvPr>
        <xdr:cNvSpPr>
          <a:spLocks noChangeArrowheads="1"/>
        </xdr:cNvSpPr>
      </xdr:nvSpPr>
      <xdr:spPr bwMode="auto">
        <a:xfrm>
          <a:off x="5098116" y="2707908"/>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3</xdr:col>
      <xdr:colOff>361950</xdr:colOff>
      <xdr:row>11</xdr:row>
      <xdr:rowOff>152967</xdr:rowOff>
    </xdr:from>
    <xdr:to>
      <xdr:col>6</xdr:col>
      <xdr:colOff>171450</xdr:colOff>
      <xdr:row>13</xdr:row>
      <xdr:rowOff>114866</xdr:rowOff>
    </xdr:to>
    <xdr:sp macro="" textlink="">
      <xdr:nvSpPr>
        <xdr:cNvPr id="63644" name="AutoShape 156">
          <a:hlinkClick xmlns:r="http://schemas.openxmlformats.org/officeDocument/2006/relationships" r:id="rId5"/>
        </xdr:cNvPr>
        <xdr:cNvSpPr>
          <a:spLocks noChangeArrowheads="1"/>
        </xdr:cNvSpPr>
      </xdr:nvSpPr>
      <xdr:spPr bwMode="auto">
        <a:xfrm>
          <a:off x="4059891" y="2707908"/>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6</xdr:col>
      <xdr:colOff>257175</xdr:colOff>
      <xdr:row>13</xdr:row>
      <xdr:rowOff>200591</xdr:rowOff>
    </xdr:from>
    <xdr:to>
      <xdr:col>8</xdr:col>
      <xdr:colOff>302777</xdr:colOff>
      <xdr:row>15</xdr:row>
      <xdr:rowOff>162491</xdr:rowOff>
    </xdr:to>
    <xdr:sp macro="" textlink="">
      <xdr:nvSpPr>
        <xdr:cNvPr id="63645" name="AutoShape 157">
          <a:hlinkClick xmlns:r="http://schemas.openxmlformats.org/officeDocument/2006/relationships" r:id="rId6"/>
        </xdr:cNvPr>
        <xdr:cNvSpPr>
          <a:spLocks noChangeArrowheads="1"/>
        </xdr:cNvSpPr>
      </xdr:nvSpPr>
      <xdr:spPr bwMode="auto">
        <a:xfrm>
          <a:off x="5098116" y="3248591"/>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3</xdr:col>
      <xdr:colOff>361950</xdr:colOff>
      <xdr:row>13</xdr:row>
      <xdr:rowOff>200591</xdr:rowOff>
    </xdr:from>
    <xdr:to>
      <xdr:col>6</xdr:col>
      <xdr:colOff>171450</xdr:colOff>
      <xdr:row>15</xdr:row>
      <xdr:rowOff>162491</xdr:rowOff>
    </xdr:to>
    <xdr:sp macro="" textlink="">
      <xdr:nvSpPr>
        <xdr:cNvPr id="63646" name="AutoShape 158">
          <a:hlinkClick xmlns:r="http://schemas.openxmlformats.org/officeDocument/2006/relationships" r:id="rId7"/>
        </xdr:cNvPr>
        <xdr:cNvSpPr>
          <a:spLocks noChangeArrowheads="1"/>
        </xdr:cNvSpPr>
      </xdr:nvSpPr>
      <xdr:spPr bwMode="auto">
        <a:xfrm>
          <a:off x="4059891" y="3248591"/>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6</xdr:col>
      <xdr:colOff>257175</xdr:colOff>
      <xdr:row>16</xdr:row>
      <xdr:rowOff>1687</xdr:rowOff>
    </xdr:from>
    <xdr:to>
      <xdr:col>8</xdr:col>
      <xdr:colOff>302777</xdr:colOff>
      <xdr:row>17</xdr:row>
      <xdr:rowOff>210116</xdr:rowOff>
    </xdr:to>
    <xdr:sp macro="" textlink="">
      <xdr:nvSpPr>
        <xdr:cNvPr id="63647" name="AutoShape 159">
          <a:hlinkClick xmlns:r="http://schemas.openxmlformats.org/officeDocument/2006/relationships" r:id="rId8"/>
        </xdr:cNvPr>
        <xdr:cNvSpPr>
          <a:spLocks noChangeArrowheads="1"/>
        </xdr:cNvSpPr>
      </xdr:nvSpPr>
      <xdr:spPr bwMode="auto">
        <a:xfrm>
          <a:off x="5098116" y="3789275"/>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3</xdr:col>
      <xdr:colOff>361950</xdr:colOff>
      <xdr:row>16</xdr:row>
      <xdr:rowOff>1687</xdr:rowOff>
    </xdr:from>
    <xdr:to>
      <xdr:col>6</xdr:col>
      <xdr:colOff>171450</xdr:colOff>
      <xdr:row>17</xdr:row>
      <xdr:rowOff>210116</xdr:rowOff>
    </xdr:to>
    <xdr:sp macro="" textlink="">
      <xdr:nvSpPr>
        <xdr:cNvPr id="63648" name="AutoShape 160">
          <a:hlinkClick xmlns:r="http://schemas.openxmlformats.org/officeDocument/2006/relationships" r:id="rId9"/>
        </xdr:cNvPr>
        <xdr:cNvSpPr>
          <a:spLocks noChangeArrowheads="1"/>
        </xdr:cNvSpPr>
      </xdr:nvSpPr>
      <xdr:spPr bwMode="auto">
        <a:xfrm>
          <a:off x="4059891" y="3789275"/>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6</xdr:col>
      <xdr:colOff>257175</xdr:colOff>
      <xdr:row>18</xdr:row>
      <xdr:rowOff>49312</xdr:rowOff>
    </xdr:from>
    <xdr:to>
      <xdr:col>8</xdr:col>
      <xdr:colOff>302777</xdr:colOff>
      <xdr:row>20</xdr:row>
      <xdr:rowOff>11212</xdr:rowOff>
    </xdr:to>
    <xdr:sp macro="" textlink="">
      <xdr:nvSpPr>
        <xdr:cNvPr id="63649" name="AutoShape 161">
          <a:hlinkClick xmlns:r="http://schemas.openxmlformats.org/officeDocument/2006/relationships" r:id="rId10"/>
        </xdr:cNvPr>
        <xdr:cNvSpPr>
          <a:spLocks noChangeArrowheads="1"/>
        </xdr:cNvSpPr>
      </xdr:nvSpPr>
      <xdr:spPr bwMode="auto">
        <a:xfrm>
          <a:off x="5098116" y="4329959"/>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3</xdr:col>
      <xdr:colOff>361950</xdr:colOff>
      <xdr:row>18</xdr:row>
      <xdr:rowOff>49312</xdr:rowOff>
    </xdr:from>
    <xdr:to>
      <xdr:col>6</xdr:col>
      <xdr:colOff>171450</xdr:colOff>
      <xdr:row>20</xdr:row>
      <xdr:rowOff>11212</xdr:rowOff>
    </xdr:to>
    <xdr:sp macro="" textlink="">
      <xdr:nvSpPr>
        <xdr:cNvPr id="63650" name="AutoShape 162">
          <a:hlinkClick xmlns:r="http://schemas.openxmlformats.org/officeDocument/2006/relationships" r:id="rId11"/>
        </xdr:cNvPr>
        <xdr:cNvSpPr>
          <a:spLocks noChangeArrowheads="1"/>
        </xdr:cNvSpPr>
      </xdr:nvSpPr>
      <xdr:spPr bwMode="auto">
        <a:xfrm>
          <a:off x="4059891" y="4329959"/>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3</xdr:col>
      <xdr:colOff>361950</xdr:colOff>
      <xdr:row>20</xdr:row>
      <xdr:rowOff>95816</xdr:rowOff>
    </xdr:from>
    <xdr:to>
      <xdr:col>8</xdr:col>
      <xdr:colOff>313764</xdr:colOff>
      <xdr:row>22</xdr:row>
      <xdr:rowOff>58837</xdr:rowOff>
    </xdr:to>
    <xdr:sp macro="" textlink="">
      <xdr:nvSpPr>
        <xdr:cNvPr id="63651" name="AutoShape 163">
          <a:hlinkClick xmlns:r="http://schemas.openxmlformats.org/officeDocument/2006/relationships" r:id="rId12"/>
        </xdr:cNvPr>
        <xdr:cNvSpPr>
          <a:spLocks noChangeArrowheads="1"/>
        </xdr:cNvSpPr>
      </xdr:nvSpPr>
      <xdr:spPr bwMode="auto">
        <a:xfrm>
          <a:off x="4059891" y="4869522"/>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3</xdr:col>
      <xdr:colOff>358028</xdr:colOff>
      <xdr:row>9</xdr:row>
      <xdr:rowOff>119903</xdr:rowOff>
    </xdr:from>
    <xdr:to>
      <xdr:col>6</xdr:col>
      <xdr:colOff>179513</xdr:colOff>
      <xdr:row>11</xdr:row>
      <xdr:rowOff>82924</xdr:rowOff>
    </xdr:to>
    <xdr:sp macro="" textlink="">
      <xdr:nvSpPr>
        <xdr:cNvPr id="63654" name="AutoShape 166">
          <a:hlinkClick xmlns:r="http://schemas.openxmlformats.org/officeDocument/2006/relationships" r:id="rId13"/>
        </xdr:cNvPr>
        <xdr:cNvSpPr>
          <a:spLocks noChangeArrowheads="1"/>
        </xdr:cNvSpPr>
      </xdr:nvSpPr>
      <xdr:spPr bwMode="auto">
        <a:xfrm>
          <a:off x="4055969" y="2181785"/>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6</xdr:col>
      <xdr:colOff>257735</xdr:colOff>
      <xdr:row>7</xdr:row>
      <xdr:rowOff>78441</xdr:rowOff>
    </xdr:from>
    <xdr:to>
      <xdr:col>8</xdr:col>
      <xdr:colOff>303337</xdr:colOff>
      <xdr:row>9</xdr:row>
      <xdr:rowOff>40342</xdr:rowOff>
    </xdr:to>
    <xdr:sp macro="" textlink="">
      <xdr:nvSpPr>
        <xdr:cNvPr id="15" name="AutoShape 153">
          <a:hlinkClick xmlns:r="http://schemas.openxmlformats.org/officeDocument/2006/relationships" r:id="rId14"/>
        </xdr:cNvPr>
        <xdr:cNvSpPr>
          <a:spLocks noChangeArrowheads="1"/>
        </xdr:cNvSpPr>
      </xdr:nvSpPr>
      <xdr:spPr bwMode="auto">
        <a:xfrm>
          <a:off x="5098676" y="1647265"/>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6</xdr:col>
      <xdr:colOff>257735</xdr:colOff>
      <xdr:row>9</xdr:row>
      <xdr:rowOff>112059</xdr:rowOff>
    </xdr:from>
    <xdr:to>
      <xdr:col>8</xdr:col>
      <xdr:colOff>303337</xdr:colOff>
      <xdr:row>11</xdr:row>
      <xdr:rowOff>75080</xdr:rowOff>
    </xdr:to>
    <xdr:sp macro="" textlink="">
      <xdr:nvSpPr>
        <xdr:cNvPr id="16" name="AutoShape 166">
          <a:hlinkClick xmlns:r="http://schemas.openxmlformats.org/officeDocument/2006/relationships" r:id="rId15"/>
        </xdr:cNvPr>
        <xdr:cNvSpPr>
          <a:spLocks noChangeArrowheads="1"/>
        </xdr:cNvSpPr>
      </xdr:nvSpPr>
      <xdr:spPr bwMode="auto">
        <a:xfrm>
          <a:off x="5098676" y="2173941"/>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75423"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75424" name="AutoShape 3"/>
        <xdr:cNvSpPr>
          <a:spLocks noChangeArrowheads="1"/>
        </xdr:cNvSpPr>
      </xdr:nvSpPr>
      <xdr:spPr bwMode="auto">
        <a:xfrm>
          <a:off x="2095500"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75108" name="Text Box 4"/>
        <xdr:cNvSpPr txBox="1">
          <a:spLocks noChangeArrowheads="1"/>
        </xdr:cNvSpPr>
      </xdr:nvSpPr>
      <xdr:spPr bwMode="auto">
        <a:xfrm>
          <a:off x="2124075"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75426" name="AutoShape 5"/>
        <xdr:cNvSpPr>
          <a:spLocks noChangeArrowheads="1"/>
        </xdr:cNvSpPr>
      </xdr:nvSpPr>
      <xdr:spPr bwMode="auto">
        <a:xfrm>
          <a:off x="2095500"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75110" name="Text Box 6"/>
        <xdr:cNvSpPr txBox="1">
          <a:spLocks noChangeArrowheads="1"/>
        </xdr:cNvSpPr>
      </xdr:nvSpPr>
      <xdr:spPr bwMode="auto">
        <a:xfrm>
          <a:off x="2152650"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75428" name="AutoShape 7"/>
        <xdr:cNvSpPr>
          <a:spLocks noChangeArrowheads="1"/>
        </xdr:cNvSpPr>
      </xdr:nvSpPr>
      <xdr:spPr bwMode="auto">
        <a:xfrm>
          <a:off x="2095500"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75112" name="Text Box 8"/>
        <xdr:cNvSpPr txBox="1">
          <a:spLocks noChangeArrowheads="1"/>
        </xdr:cNvSpPr>
      </xdr:nvSpPr>
      <xdr:spPr bwMode="auto">
        <a:xfrm>
          <a:off x="2152650"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75430" name="AutoShape 9"/>
        <xdr:cNvSpPr>
          <a:spLocks noChangeArrowheads="1"/>
        </xdr:cNvSpPr>
      </xdr:nvSpPr>
      <xdr:spPr bwMode="auto">
        <a:xfrm>
          <a:off x="2095500"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75114" name="Text Box 10"/>
        <xdr:cNvSpPr txBox="1">
          <a:spLocks noChangeArrowheads="1"/>
        </xdr:cNvSpPr>
      </xdr:nvSpPr>
      <xdr:spPr bwMode="auto">
        <a:xfrm>
          <a:off x="2114550"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75432" name="AutoShape 11"/>
        <xdr:cNvSpPr>
          <a:spLocks noChangeArrowheads="1"/>
        </xdr:cNvSpPr>
      </xdr:nvSpPr>
      <xdr:spPr bwMode="auto">
        <a:xfrm>
          <a:off x="2095500"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75116" name="Text Box 12"/>
        <xdr:cNvSpPr txBox="1">
          <a:spLocks noChangeArrowheads="1"/>
        </xdr:cNvSpPr>
      </xdr:nvSpPr>
      <xdr:spPr bwMode="auto">
        <a:xfrm>
          <a:off x="2152650"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75434" name="AutoShape 13"/>
        <xdr:cNvSpPr>
          <a:spLocks noChangeArrowheads="1"/>
        </xdr:cNvSpPr>
      </xdr:nvSpPr>
      <xdr:spPr bwMode="auto">
        <a:xfrm>
          <a:off x="2095500"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75118" name="Text Box 14"/>
        <xdr:cNvSpPr txBox="1">
          <a:spLocks noChangeArrowheads="1"/>
        </xdr:cNvSpPr>
      </xdr:nvSpPr>
      <xdr:spPr bwMode="auto">
        <a:xfrm>
          <a:off x="2133600"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75120" name="AutoShape 16"/>
        <xdr:cNvSpPr>
          <a:spLocks noChangeArrowheads="1"/>
        </xdr:cNvSpPr>
      </xdr:nvSpPr>
      <xdr:spPr bwMode="auto">
        <a:xfrm>
          <a:off x="1628775"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19" name="AutoShape 43">
          <a:hlinkClick xmlns:r="http://schemas.openxmlformats.org/officeDocument/2006/relationships" r:id="rId2"/>
        </xdr:cNvPr>
        <xdr:cNvSpPr>
          <a:spLocks noChangeArrowheads="1"/>
        </xdr:cNvSpPr>
      </xdr:nvSpPr>
      <xdr:spPr bwMode="auto">
        <a:xfrm>
          <a:off x="124333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0" name="AutoShape 44">
          <a:hlinkClick xmlns:r="http://schemas.openxmlformats.org/officeDocument/2006/relationships" r:id="rId3"/>
        </xdr:cNvPr>
        <xdr:cNvSpPr>
          <a:spLocks noChangeArrowheads="1"/>
        </xdr:cNvSpPr>
      </xdr:nvSpPr>
      <xdr:spPr bwMode="auto">
        <a:xfrm>
          <a:off x="124333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1" name="AutoShape 45">
          <a:hlinkClick xmlns:r="http://schemas.openxmlformats.org/officeDocument/2006/relationships" r:id="rId4"/>
        </xdr:cNvPr>
        <xdr:cNvSpPr>
          <a:spLocks noChangeArrowheads="1"/>
        </xdr:cNvSpPr>
      </xdr:nvSpPr>
      <xdr:spPr bwMode="auto">
        <a:xfrm>
          <a:off x="124333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2" name="AutoShape 43">
          <a:hlinkClick xmlns:r="http://schemas.openxmlformats.org/officeDocument/2006/relationships" r:id="rId5"/>
        </xdr:cNvPr>
        <xdr:cNvSpPr>
          <a:spLocks noChangeArrowheads="1"/>
        </xdr:cNvSpPr>
      </xdr:nvSpPr>
      <xdr:spPr bwMode="auto">
        <a:xfrm>
          <a:off x="138239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3" name="AutoShape 45">
          <a:hlinkClick xmlns:r="http://schemas.openxmlformats.org/officeDocument/2006/relationships" r:id="rId6"/>
        </xdr:cNvPr>
        <xdr:cNvSpPr>
          <a:spLocks noChangeArrowheads="1"/>
        </xdr:cNvSpPr>
      </xdr:nvSpPr>
      <xdr:spPr bwMode="auto">
        <a:xfrm>
          <a:off x="138239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65986"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65987"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67236</xdr:rowOff>
    </xdr:from>
    <xdr:to>
      <xdr:col>20</xdr:col>
      <xdr:colOff>114300</xdr:colOff>
      <xdr:row>2</xdr:row>
      <xdr:rowOff>10086</xdr:rowOff>
    </xdr:to>
    <xdr:sp macro="" textlink="">
      <xdr:nvSpPr>
        <xdr:cNvPr id="7" name="AutoShape 19">
          <a:hlinkClick xmlns:r="http://schemas.openxmlformats.org/officeDocument/2006/relationships" r:id="rId3"/>
        </xdr:cNvPr>
        <xdr:cNvSpPr>
          <a:spLocks noChangeArrowheads="1"/>
        </xdr:cNvSpPr>
      </xdr:nvSpPr>
      <xdr:spPr bwMode="auto">
        <a:xfrm>
          <a:off x="8951259" y="67236"/>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67236</xdr:rowOff>
    </xdr:from>
    <xdr:to>
      <xdr:col>17</xdr:col>
      <xdr:colOff>561975</xdr:colOff>
      <xdr:row>2</xdr:row>
      <xdr:rowOff>10086</xdr:rowOff>
    </xdr:to>
    <xdr:sp macro="" textlink="">
      <xdr:nvSpPr>
        <xdr:cNvPr id="8" name="AutoShape 20">
          <a:hlinkClick xmlns:r="http://schemas.openxmlformats.org/officeDocument/2006/relationships" r:id="rId4"/>
        </xdr:cNvPr>
        <xdr:cNvSpPr>
          <a:spLocks noChangeArrowheads="1"/>
        </xdr:cNvSpPr>
      </xdr:nvSpPr>
      <xdr:spPr bwMode="auto">
        <a:xfrm>
          <a:off x="7911353" y="67236"/>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67236</xdr:rowOff>
    </xdr:from>
    <xdr:to>
      <xdr:col>22</xdr:col>
      <xdr:colOff>38100</xdr:colOff>
      <xdr:row>2</xdr:row>
      <xdr:rowOff>10086</xdr:rowOff>
    </xdr:to>
    <xdr:sp macro="" textlink="">
      <xdr:nvSpPr>
        <xdr:cNvPr id="9" name="AutoShape 21">
          <a:hlinkClick xmlns:r="http://schemas.openxmlformats.org/officeDocument/2006/relationships" r:id="rId5"/>
        </xdr:cNvPr>
        <xdr:cNvSpPr>
          <a:spLocks noChangeArrowheads="1"/>
        </xdr:cNvSpPr>
      </xdr:nvSpPr>
      <xdr:spPr bwMode="auto">
        <a:xfrm>
          <a:off x="9984441" y="67236"/>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69475</xdr:rowOff>
    </xdr:from>
    <xdr:to>
      <xdr:col>23</xdr:col>
      <xdr:colOff>681880</xdr:colOff>
      <xdr:row>2</xdr:row>
      <xdr:rowOff>12325</xdr:rowOff>
    </xdr:to>
    <xdr:sp macro="" textlink="">
      <xdr:nvSpPr>
        <xdr:cNvPr id="10" name="AutoShape 19">
          <a:hlinkClick xmlns:r="http://schemas.openxmlformats.org/officeDocument/2006/relationships" r:id="rId6"/>
        </xdr:cNvPr>
        <xdr:cNvSpPr>
          <a:spLocks noChangeArrowheads="1"/>
        </xdr:cNvSpPr>
      </xdr:nvSpPr>
      <xdr:spPr bwMode="auto">
        <a:xfrm>
          <a:off x="11020427" y="69475"/>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69475</xdr:rowOff>
    </xdr:from>
    <xdr:to>
      <xdr:col>26</xdr:col>
      <xdr:colOff>224680</xdr:colOff>
      <xdr:row>2</xdr:row>
      <xdr:rowOff>12325</xdr:rowOff>
    </xdr:to>
    <xdr:sp macro="" textlink="">
      <xdr:nvSpPr>
        <xdr:cNvPr id="11" name="AutoShape 21">
          <a:hlinkClick xmlns:r="http://schemas.openxmlformats.org/officeDocument/2006/relationships" r:id="rId7"/>
        </xdr:cNvPr>
        <xdr:cNvSpPr>
          <a:spLocks noChangeArrowheads="1"/>
        </xdr:cNvSpPr>
      </xdr:nvSpPr>
      <xdr:spPr bwMode="auto">
        <a:xfrm>
          <a:off x="12053609" y="69475"/>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69278"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69279" name="AutoShape 3"/>
        <xdr:cNvSpPr>
          <a:spLocks noChangeArrowheads="1"/>
        </xdr:cNvSpPr>
      </xdr:nvSpPr>
      <xdr:spPr bwMode="auto">
        <a:xfrm>
          <a:off x="2095500"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68964" name="Text Box 4"/>
        <xdr:cNvSpPr txBox="1">
          <a:spLocks noChangeArrowheads="1"/>
        </xdr:cNvSpPr>
      </xdr:nvSpPr>
      <xdr:spPr bwMode="auto">
        <a:xfrm>
          <a:off x="2124075"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69281" name="AutoShape 5"/>
        <xdr:cNvSpPr>
          <a:spLocks noChangeArrowheads="1"/>
        </xdr:cNvSpPr>
      </xdr:nvSpPr>
      <xdr:spPr bwMode="auto">
        <a:xfrm>
          <a:off x="2095500"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68966" name="Text Box 6"/>
        <xdr:cNvSpPr txBox="1">
          <a:spLocks noChangeArrowheads="1"/>
        </xdr:cNvSpPr>
      </xdr:nvSpPr>
      <xdr:spPr bwMode="auto">
        <a:xfrm>
          <a:off x="2152650"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69283" name="AutoShape 7"/>
        <xdr:cNvSpPr>
          <a:spLocks noChangeArrowheads="1"/>
        </xdr:cNvSpPr>
      </xdr:nvSpPr>
      <xdr:spPr bwMode="auto">
        <a:xfrm>
          <a:off x="2095500"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68968" name="Text Box 8"/>
        <xdr:cNvSpPr txBox="1">
          <a:spLocks noChangeArrowheads="1"/>
        </xdr:cNvSpPr>
      </xdr:nvSpPr>
      <xdr:spPr bwMode="auto">
        <a:xfrm>
          <a:off x="2152650"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69285" name="AutoShape 9"/>
        <xdr:cNvSpPr>
          <a:spLocks noChangeArrowheads="1"/>
        </xdr:cNvSpPr>
      </xdr:nvSpPr>
      <xdr:spPr bwMode="auto">
        <a:xfrm>
          <a:off x="2095500"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68970" name="Text Box 10"/>
        <xdr:cNvSpPr txBox="1">
          <a:spLocks noChangeArrowheads="1"/>
        </xdr:cNvSpPr>
      </xdr:nvSpPr>
      <xdr:spPr bwMode="auto">
        <a:xfrm>
          <a:off x="2114550"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69287" name="AutoShape 11"/>
        <xdr:cNvSpPr>
          <a:spLocks noChangeArrowheads="1"/>
        </xdr:cNvSpPr>
      </xdr:nvSpPr>
      <xdr:spPr bwMode="auto">
        <a:xfrm>
          <a:off x="2095500"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68972" name="Text Box 12"/>
        <xdr:cNvSpPr txBox="1">
          <a:spLocks noChangeArrowheads="1"/>
        </xdr:cNvSpPr>
      </xdr:nvSpPr>
      <xdr:spPr bwMode="auto">
        <a:xfrm>
          <a:off x="2152650"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69289" name="AutoShape 13"/>
        <xdr:cNvSpPr>
          <a:spLocks noChangeArrowheads="1"/>
        </xdr:cNvSpPr>
      </xdr:nvSpPr>
      <xdr:spPr bwMode="auto">
        <a:xfrm>
          <a:off x="2095500"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68974" name="Text Box 14"/>
        <xdr:cNvSpPr txBox="1">
          <a:spLocks noChangeArrowheads="1"/>
        </xdr:cNvSpPr>
      </xdr:nvSpPr>
      <xdr:spPr bwMode="auto">
        <a:xfrm>
          <a:off x="2133600"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68976" name="AutoShape 16"/>
        <xdr:cNvSpPr>
          <a:spLocks noChangeArrowheads="1"/>
        </xdr:cNvSpPr>
      </xdr:nvSpPr>
      <xdr:spPr bwMode="auto">
        <a:xfrm>
          <a:off x="1628775"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19" name="AutoShape 43">
          <a:hlinkClick xmlns:r="http://schemas.openxmlformats.org/officeDocument/2006/relationships" r:id="rId2"/>
        </xdr:cNvPr>
        <xdr:cNvSpPr>
          <a:spLocks noChangeArrowheads="1"/>
        </xdr:cNvSpPr>
      </xdr:nvSpPr>
      <xdr:spPr bwMode="auto">
        <a:xfrm>
          <a:off x="124333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0" name="AutoShape 44">
          <a:hlinkClick xmlns:r="http://schemas.openxmlformats.org/officeDocument/2006/relationships" r:id="rId3"/>
        </xdr:cNvPr>
        <xdr:cNvSpPr>
          <a:spLocks noChangeArrowheads="1"/>
        </xdr:cNvSpPr>
      </xdr:nvSpPr>
      <xdr:spPr bwMode="auto">
        <a:xfrm>
          <a:off x="124333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1" name="AutoShape 45">
          <a:hlinkClick xmlns:r="http://schemas.openxmlformats.org/officeDocument/2006/relationships" r:id="rId4"/>
        </xdr:cNvPr>
        <xdr:cNvSpPr>
          <a:spLocks noChangeArrowheads="1"/>
        </xdr:cNvSpPr>
      </xdr:nvSpPr>
      <xdr:spPr bwMode="auto">
        <a:xfrm>
          <a:off x="124333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2" name="AutoShape 43">
          <a:hlinkClick xmlns:r="http://schemas.openxmlformats.org/officeDocument/2006/relationships" r:id="rId5"/>
        </xdr:cNvPr>
        <xdr:cNvSpPr>
          <a:spLocks noChangeArrowheads="1"/>
        </xdr:cNvSpPr>
      </xdr:nvSpPr>
      <xdr:spPr bwMode="auto">
        <a:xfrm>
          <a:off x="138239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3" name="AutoShape 45">
          <a:hlinkClick xmlns:r="http://schemas.openxmlformats.org/officeDocument/2006/relationships" r:id="rId6"/>
        </xdr:cNvPr>
        <xdr:cNvSpPr>
          <a:spLocks noChangeArrowheads="1"/>
        </xdr:cNvSpPr>
      </xdr:nvSpPr>
      <xdr:spPr bwMode="auto">
        <a:xfrm>
          <a:off x="138239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59843"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5984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56030</xdr:rowOff>
    </xdr:from>
    <xdr:to>
      <xdr:col>20</xdr:col>
      <xdr:colOff>114300</xdr:colOff>
      <xdr:row>1</xdr:row>
      <xdr:rowOff>256616</xdr:rowOff>
    </xdr:to>
    <xdr:sp macro="" textlink="">
      <xdr:nvSpPr>
        <xdr:cNvPr id="7" name="AutoShape 19">
          <a:hlinkClick xmlns:r="http://schemas.openxmlformats.org/officeDocument/2006/relationships" r:id="rId3"/>
        </xdr:cNvPr>
        <xdr:cNvSpPr>
          <a:spLocks noChangeArrowheads="1"/>
        </xdr:cNvSpPr>
      </xdr:nvSpPr>
      <xdr:spPr bwMode="auto">
        <a:xfrm>
          <a:off x="8951259" y="56030"/>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56030</xdr:rowOff>
    </xdr:from>
    <xdr:to>
      <xdr:col>17</xdr:col>
      <xdr:colOff>561975</xdr:colOff>
      <xdr:row>1</xdr:row>
      <xdr:rowOff>256616</xdr:rowOff>
    </xdr:to>
    <xdr:sp macro="" textlink="">
      <xdr:nvSpPr>
        <xdr:cNvPr id="8" name="AutoShape 20">
          <a:hlinkClick xmlns:r="http://schemas.openxmlformats.org/officeDocument/2006/relationships" r:id="rId4"/>
        </xdr:cNvPr>
        <xdr:cNvSpPr>
          <a:spLocks noChangeArrowheads="1"/>
        </xdr:cNvSpPr>
      </xdr:nvSpPr>
      <xdr:spPr bwMode="auto">
        <a:xfrm>
          <a:off x="7911353" y="56030"/>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56030</xdr:rowOff>
    </xdr:from>
    <xdr:to>
      <xdr:col>22</xdr:col>
      <xdr:colOff>38100</xdr:colOff>
      <xdr:row>1</xdr:row>
      <xdr:rowOff>256616</xdr:rowOff>
    </xdr:to>
    <xdr:sp macro="" textlink="">
      <xdr:nvSpPr>
        <xdr:cNvPr id="9" name="AutoShape 21">
          <a:hlinkClick xmlns:r="http://schemas.openxmlformats.org/officeDocument/2006/relationships" r:id="rId5"/>
        </xdr:cNvPr>
        <xdr:cNvSpPr>
          <a:spLocks noChangeArrowheads="1"/>
        </xdr:cNvSpPr>
      </xdr:nvSpPr>
      <xdr:spPr bwMode="auto">
        <a:xfrm>
          <a:off x="9984441" y="56030"/>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58269</xdr:rowOff>
    </xdr:from>
    <xdr:to>
      <xdr:col>23</xdr:col>
      <xdr:colOff>681880</xdr:colOff>
      <xdr:row>2</xdr:row>
      <xdr:rowOff>1119</xdr:rowOff>
    </xdr:to>
    <xdr:sp macro="" textlink="">
      <xdr:nvSpPr>
        <xdr:cNvPr id="10" name="AutoShape 19">
          <a:hlinkClick xmlns:r="http://schemas.openxmlformats.org/officeDocument/2006/relationships" r:id="rId6"/>
        </xdr:cNvPr>
        <xdr:cNvSpPr>
          <a:spLocks noChangeArrowheads="1"/>
        </xdr:cNvSpPr>
      </xdr:nvSpPr>
      <xdr:spPr bwMode="auto">
        <a:xfrm>
          <a:off x="11020427" y="58269"/>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58269</xdr:rowOff>
    </xdr:from>
    <xdr:to>
      <xdr:col>26</xdr:col>
      <xdr:colOff>224680</xdr:colOff>
      <xdr:row>2</xdr:row>
      <xdr:rowOff>1119</xdr:rowOff>
    </xdr:to>
    <xdr:sp macro="" textlink="">
      <xdr:nvSpPr>
        <xdr:cNvPr id="11" name="AutoShape 21">
          <a:hlinkClick xmlns:r="http://schemas.openxmlformats.org/officeDocument/2006/relationships" r:id="rId7"/>
        </xdr:cNvPr>
        <xdr:cNvSpPr>
          <a:spLocks noChangeArrowheads="1"/>
        </xdr:cNvSpPr>
      </xdr:nvSpPr>
      <xdr:spPr bwMode="auto">
        <a:xfrm>
          <a:off x="12053609" y="58269"/>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63134"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63135" name="AutoShape 3"/>
        <xdr:cNvSpPr>
          <a:spLocks noChangeArrowheads="1"/>
        </xdr:cNvSpPr>
      </xdr:nvSpPr>
      <xdr:spPr bwMode="auto">
        <a:xfrm>
          <a:off x="2095500"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62820" name="Text Box 4"/>
        <xdr:cNvSpPr txBox="1">
          <a:spLocks noChangeArrowheads="1"/>
        </xdr:cNvSpPr>
      </xdr:nvSpPr>
      <xdr:spPr bwMode="auto">
        <a:xfrm>
          <a:off x="2124075"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63137" name="AutoShape 5"/>
        <xdr:cNvSpPr>
          <a:spLocks noChangeArrowheads="1"/>
        </xdr:cNvSpPr>
      </xdr:nvSpPr>
      <xdr:spPr bwMode="auto">
        <a:xfrm>
          <a:off x="2095500"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62822" name="Text Box 6"/>
        <xdr:cNvSpPr txBox="1">
          <a:spLocks noChangeArrowheads="1"/>
        </xdr:cNvSpPr>
      </xdr:nvSpPr>
      <xdr:spPr bwMode="auto">
        <a:xfrm>
          <a:off x="2152650"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63139" name="AutoShape 7"/>
        <xdr:cNvSpPr>
          <a:spLocks noChangeArrowheads="1"/>
        </xdr:cNvSpPr>
      </xdr:nvSpPr>
      <xdr:spPr bwMode="auto">
        <a:xfrm>
          <a:off x="2095500"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62824" name="Text Box 8"/>
        <xdr:cNvSpPr txBox="1">
          <a:spLocks noChangeArrowheads="1"/>
        </xdr:cNvSpPr>
      </xdr:nvSpPr>
      <xdr:spPr bwMode="auto">
        <a:xfrm>
          <a:off x="2152650"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63141" name="AutoShape 9"/>
        <xdr:cNvSpPr>
          <a:spLocks noChangeArrowheads="1"/>
        </xdr:cNvSpPr>
      </xdr:nvSpPr>
      <xdr:spPr bwMode="auto">
        <a:xfrm>
          <a:off x="2095500"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62826" name="Text Box 10"/>
        <xdr:cNvSpPr txBox="1">
          <a:spLocks noChangeArrowheads="1"/>
        </xdr:cNvSpPr>
      </xdr:nvSpPr>
      <xdr:spPr bwMode="auto">
        <a:xfrm>
          <a:off x="2114550"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63143" name="AutoShape 11"/>
        <xdr:cNvSpPr>
          <a:spLocks noChangeArrowheads="1"/>
        </xdr:cNvSpPr>
      </xdr:nvSpPr>
      <xdr:spPr bwMode="auto">
        <a:xfrm>
          <a:off x="2095500"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62828" name="Text Box 12"/>
        <xdr:cNvSpPr txBox="1">
          <a:spLocks noChangeArrowheads="1"/>
        </xdr:cNvSpPr>
      </xdr:nvSpPr>
      <xdr:spPr bwMode="auto">
        <a:xfrm>
          <a:off x="2152650"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63145" name="AutoShape 13"/>
        <xdr:cNvSpPr>
          <a:spLocks noChangeArrowheads="1"/>
        </xdr:cNvSpPr>
      </xdr:nvSpPr>
      <xdr:spPr bwMode="auto">
        <a:xfrm>
          <a:off x="2095500"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62830" name="Text Box 14"/>
        <xdr:cNvSpPr txBox="1">
          <a:spLocks noChangeArrowheads="1"/>
        </xdr:cNvSpPr>
      </xdr:nvSpPr>
      <xdr:spPr bwMode="auto">
        <a:xfrm>
          <a:off x="2133600"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62832" name="AutoShape 16"/>
        <xdr:cNvSpPr>
          <a:spLocks noChangeArrowheads="1"/>
        </xdr:cNvSpPr>
      </xdr:nvSpPr>
      <xdr:spPr bwMode="auto">
        <a:xfrm>
          <a:off x="1628775"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19" name="AutoShape 43">
          <a:hlinkClick xmlns:r="http://schemas.openxmlformats.org/officeDocument/2006/relationships" r:id="rId2"/>
        </xdr:cNvPr>
        <xdr:cNvSpPr>
          <a:spLocks noChangeArrowheads="1"/>
        </xdr:cNvSpPr>
      </xdr:nvSpPr>
      <xdr:spPr bwMode="auto">
        <a:xfrm>
          <a:off x="124333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0" name="AutoShape 44">
          <a:hlinkClick xmlns:r="http://schemas.openxmlformats.org/officeDocument/2006/relationships" r:id="rId3"/>
        </xdr:cNvPr>
        <xdr:cNvSpPr>
          <a:spLocks noChangeArrowheads="1"/>
        </xdr:cNvSpPr>
      </xdr:nvSpPr>
      <xdr:spPr bwMode="auto">
        <a:xfrm>
          <a:off x="124333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1" name="AutoShape 45">
          <a:hlinkClick xmlns:r="http://schemas.openxmlformats.org/officeDocument/2006/relationships" r:id="rId4"/>
        </xdr:cNvPr>
        <xdr:cNvSpPr>
          <a:spLocks noChangeArrowheads="1"/>
        </xdr:cNvSpPr>
      </xdr:nvSpPr>
      <xdr:spPr bwMode="auto">
        <a:xfrm>
          <a:off x="124333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2" name="AutoShape 43">
          <a:hlinkClick xmlns:r="http://schemas.openxmlformats.org/officeDocument/2006/relationships" r:id="rId5"/>
        </xdr:cNvPr>
        <xdr:cNvSpPr>
          <a:spLocks noChangeArrowheads="1"/>
        </xdr:cNvSpPr>
      </xdr:nvSpPr>
      <xdr:spPr bwMode="auto">
        <a:xfrm>
          <a:off x="138239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3" name="AutoShape 45">
          <a:hlinkClick xmlns:r="http://schemas.openxmlformats.org/officeDocument/2006/relationships" r:id="rId6"/>
        </xdr:cNvPr>
        <xdr:cNvSpPr>
          <a:spLocks noChangeArrowheads="1"/>
        </xdr:cNvSpPr>
      </xdr:nvSpPr>
      <xdr:spPr bwMode="auto">
        <a:xfrm>
          <a:off x="138239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53698"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53699"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67236</xdr:rowOff>
    </xdr:from>
    <xdr:to>
      <xdr:col>20</xdr:col>
      <xdr:colOff>114300</xdr:colOff>
      <xdr:row>2</xdr:row>
      <xdr:rowOff>10086</xdr:rowOff>
    </xdr:to>
    <xdr:sp macro="" textlink="">
      <xdr:nvSpPr>
        <xdr:cNvPr id="7" name="AutoShape 19">
          <a:hlinkClick xmlns:r="http://schemas.openxmlformats.org/officeDocument/2006/relationships" r:id="rId3"/>
        </xdr:cNvPr>
        <xdr:cNvSpPr>
          <a:spLocks noChangeArrowheads="1"/>
        </xdr:cNvSpPr>
      </xdr:nvSpPr>
      <xdr:spPr bwMode="auto">
        <a:xfrm>
          <a:off x="8951259" y="67236"/>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67236</xdr:rowOff>
    </xdr:from>
    <xdr:to>
      <xdr:col>17</xdr:col>
      <xdr:colOff>561975</xdr:colOff>
      <xdr:row>2</xdr:row>
      <xdr:rowOff>10086</xdr:rowOff>
    </xdr:to>
    <xdr:sp macro="" textlink="">
      <xdr:nvSpPr>
        <xdr:cNvPr id="8" name="AutoShape 20">
          <a:hlinkClick xmlns:r="http://schemas.openxmlformats.org/officeDocument/2006/relationships" r:id="rId4"/>
        </xdr:cNvPr>
        <xdr:cNvSpPr>
          <a:spLocks noChangeArrowheads="1"/>
        </xdr:cNvSpPr>
      </xdr:nvSpPr>
      <xdr:spPr bwMode="auto">
        <a:xfrm>
          <a:off x="7911353" y="67236"/>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67236</xdr:rowOff>
    </xdr:from>
    <xdr:to>
      <xdr:col>22</xdr:col>
      <xdr:colOff>38100</xdr:colOff>
      <xdr:row>2</xdr:row>
      <xdr:rowOff>10086</xdr:rowOff>
    </xdr:to>
    <xdr:sp macro="" textlink="">
      <xdr:nvSpPr>
        <xdr:cNvPr id="9" name="AutoShape 21">
          <a:hlinkClick xmlns:r="http://schemas.openxmlformats.org/officeDocument/2006/relationships" r:id="rId5"/>
        </xdr:cNvPr>
        <xdr:cNvSpPr>
          <a:spLocks noChangeArrowheads="1"/>
        </xdr:cNvSpPr>
      </xdr:nvSpPr>
      <xdr:spPr bwMode="auto">
        <a:xfrm>
          <a:off x="9984441" y="67236"/>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69475</xdr:rowOff>
    </xdr:from>
    <xdr:to>
      <xdr:col>23</xdr:col>
      <xdr:colOff>681880</xdr:colOff>
      <xdr:row>2</xdr:row>
      <xdr:rowOff>12325</xdr:rowOff>
    </xdr:to>
    <xdr:sp macro="" textlink="">
      <xdr:nvSpPr>
        <xdr:cNvPr id="10" name="AutoShape 19">
          <a:hlinkClick xmlns:r="http://schemas.openxmlformats.org/officeDocument/2006/relationships" r:id="rId6"/>
        </xdr:cNvPr>
        <xdr:cNvSpPr>
          <a:spLocks noChangeArrowheads="1"/>
        </xdr:cNvSpPr>
      </xdr:nvSpPr>
      <xdr:spPr bwMode="auto">
        <a:xfrm>
          <a:off x="11020427" y="69475"/>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69475</xdr:rowOff>
    </xdr:from>
    <xdr:to>
      <xdr:col>26</xdr:col>
      <xdr:colOff>224680</xdr:colOff>
      <xdr:row>2</xdr:row>
      <xdr:rowOff>12325</xdr:rowOff>
    </xdr:to>
    <xdr:sp macro="" textlink="">
      <xdr:nvSpPr>
        <xdr:cNvPr id="11" name="AutoShape 21">
          <a:hlinkClick xmlns:r="http://schemas.openxmlformats.org/officeDocument/2006/relationships" r:id="rId7"/>
        </xdr:cNvPr>
        <xdr:cNvSpPr>
          <a:spLocks noChangeArrowheads="1"/>
        </xdr:cNvSpPr>
      </xdr:nvSpPr>
      <xdr:spPr bwMode="auto">
        <a:xfrm>
          <a:off x="12053609" y="69475"/>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56990"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56991" name="AutoShape 3"/>
        <xdr:cNvSpPr>
          <a:spLocks noChangeArrowheads="1"/>
        </xdr:cNvSpPr>
      </xdr:nvSpPr>
      <xdr:spPr bwMode="auto">
        <a:xfrm>
          <a:off x="2095500"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56676" name="Text Box 4"/>
        <xdr:cNvSpPr txBox="1">
          <a:spLocks noChangeArrowheads="1"/>
        </xdr:cNvSpPr>
      </xdr:nvSpPr>
      <xdr:spPr bwMode="auto">
        <a:xfrm>
          <a:off x="2124075"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56993" name="AutoShape 5"/>
        <xdr:cNvSpPr>
          <a:spLocks noChangeArrowheads="1"/>
        </xdr:cNvSpPr>
      </xdr:nvSpPr>
      <xdr:spPr bwMode="auto">
        <a:xfrm>
          <a:off x="2095500"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56678" name="Text Box 6"/>
        <xdr:cNvSpPr txBox="1">
          <a:spLocks noChangeArrowheads="1"/>
        </xdr:cNvSpPr>
      </xdr:nvSpPr>
      <xdr:spPr bwMode="auto">
        <a:xfrm>
          <a:off x="2152650"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56995" name="AutoShape 7"/>
        <xdr:cNvSpPr>
          <a:spLocks noChangeArrowheads="1"/>
        </xdr:cNvSpPr>
      </xdr:nvSpPr>
      <xdr:spPr bwMode="auto">
        <a:xfrm>
          <a:off x="2095500"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56680" name="Text Box 8"/>
        <xdr:cNvSpPr txBox="1">
          <a:spLocks noChangeArrowheads="1"/>
        </xdr:cNvSpPr>
      </xdr:nvSpPr>
      <xdr:spPr bwMode="auto">
        <a:xfrm>
          <a:off x="2152650"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56997" name="AutoShape 9"/>
        <xdr:cNvSpPr>
          <a:spLocks noChangeArrowheads="1"/>
        </xdr:cNvSpPr>
      </xdr:nvSpPr>
      <xdr:spPr bwMode="auto">
        <a:xfrm>
          <a:off x="2095500"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56682" name="Text Box 10"/>
        <xdr:cNvSpPr txBox="1">
          <a:spLocks noChangeArrowheads="1"/>
        </xdr:cNvSpPr>
      </xdr:nvSpPr>
      <xdr:spPr bwMode="auto">
        <a:xfrm>
          <a:off x="2114550"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56999" name="AutoShape 11"/>
        <xdr:cNvSpPr>
          <a:spLocks noChangeArrowheads="1"/>
        </xdr:cNvSpPr>
      </xdr:nvSpPr>
      <xdr:spPr bwMode="auto">
        <a:xfrm>
          <a:off x="2095500"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56684" name="Text Box 12"/>
        <xdr:cNvSpPr txBox="1">
          <a:spLocks noChangeArrowheads="1"/>
        </xdr:cNvSpPr>
      </xdr:nvSpPr>
      <xdr:spPr bwMode="auto">
        <a:xfrm>
          <a:off x="2152650"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57001" name="AutoShape 13"/>
        <xdr:cNvSpPr>
          <a:spLocks noChangeArrowheads="1"/>
        </xdr:cNvSpPr>
      </xdr:nvSpPr>
      <xdr:spPr bwMode="auto">
        <a:xfrm>
          <a:off x="2095500"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56686" name="Text Box 14"/>
        <xdr:cNvSpPr txBox="1">
          <a:spLocks noChangeArrowheads="1"/>
        </xdr:cNvSpPr>
      </xdr:nvSpPr>
      <xdr:spPr bwMode="auto">
        <a:xfrm>
          <a:off x="2133600"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56688" name="AutoShape 16"/>
        <xdr:cNvSpPr>
          <a:spLocks noChangeArrowheads="1"/>
        </xdr:cNvSpPr>
      </xdr:nvSpPr>
      <xdr:spPr bwMode="auto">
        <a:xfrm>
          <a:off x="1628775"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24" name="AutoShape 43">
          <a:hlinkClick xmlns:r="http://schemas.openxmlformats.org/officeDocument/2006/relationships" r:id="rId2"/>
        </xdr:cNvPr>
        <xdr:cNvSpPr>
          <a:spLocks noChangeArrowheads="1"/>
        </xdr:cNvSpPr>
      </xdr:nvSpPr>
      <xdr:spPr bwMode="auto">
        <a:xfrm>
          <a:off x="124333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5" name="AutoShape 44">
          <a:hlinkClick xmlns:r="http://schemas.openxmlformats.org/officeDocument/2006/relationships" r:id="rId3"/>
        </xdr:cNvPr>
        <xdr:cNvSpPr>
          <a:spLocks noChangeArrowheads="1"/>
        </xdr:cNvSpPr>
      </xdr:nvSpPr>
      <xdr:spPr bwMode="auto">
        <a:xfrm>
          <a:off x="124333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6" name="AutoShape 45">
          <a:hlinkClick xmlns:r="http://schemas.openxmlformats.org/officeDocument/2006/relationships" r:id="rId4"/>
        </xdr:cNvPr>
        <xdr:cNvSpPr>
          <a:spLocks noChangeArrowheads="1"/>
        </xdr:cNvSpPr>
      </xdr:nvSpPr>
      <xdr:spPr bwMode="auto">
        <a:xfrm>
          <a:off x="124333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7" name="AutoShape 43">
          <a:hlinkClick xmlns:r="http://schemas.openxmlformats.org/officeDocument/2006/relationships" r:id="rId5"/>
        </xdr:cNvPr>
        <xdr:cNvSpPr>
          <a:spLocks noChangeArrowheads="1"/>
        </xdr:cNvSpPr>
      </xdr:nvSpPr>
      <xdr:spPr bwMode="auto">
        <a:xfrm>
          <a:off x="138239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8" name="AutoShape 45">
          <a:hlinkClick xmlns:r="http://schemas.openxmlformats.org/officeDocument/2006/relationships" r:id="rId6"/>
        </xdr:cNvPr>
        <xdr:cNvSpPr>
          <a:spLocks noChangeArrowheads="1"/>
        </xdr:cNvSpPr>
      </xdr:nvSpPr>
      <xdr:spPr bwMode="auto">
        <a:xfrm>
          <a:off x="138239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47554"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47555"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56030</xdr:rowOff>
    </xdr:from>
    <xdr:to>
      <xdr:col>20</xdr:col>
      <xdr:colOff>114300</xdr:colOff>
      <xdr:row>1</xdr:row>
      <xdr:rowOff>256616</xdr:rowOff>
    </xdr:to>
    <xdr:sp macro="" textlink="">
      <xdr:nvSpPr>
        <xdr:cNvPr id="7" name="AutoShape 19">
          <a:hlinkClick xmlns:r="http://schemas.openxmlformats.org/officeDocument/2006/relationships" r:id="rId3"/>
        </xdr:cNvPr>
        <xdr:cNvSpPr>
          <a:spLocks noChangeArrowheads="1"/>
        </xdr:cNvSpPr>
      </xdr:nvSpPr>
      <xdr:spPr bwMode="auto">
        <a:xfrm>
          <a:off x="8951259" y="56030"/>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56030</xdr:rowOff>
    </xdr:from>
    <xdr:to>
      <xdr:col>17</xdr:col>
      <xdr:colOff>561975</xdr:colOff>
      <xdr:row>1</xdr:row>
      <xdr:rowOff>256616</xdr:rowOff>
    </xdr:to>
    <xdr:sp macro="" textlink="">
      <xdr:nvSpPr>
        <xdr:cNvPr id="8" name="AutoShape 20">
          <a:hlinkClick xmlns:r="http://schemas.openxmlformats.org/officeDocument/2006/relationships" r:id="rId4"/>
        </xdr:cNvPr>
        <xdr:cNvSpPr>
          <a:spLocks noChangeArrowheads="1"/>
        </xdr:cNvSpPr>
      </xdr:nvSpPr>
      <xdr:spPr bwMode="auto">
        <a:xfrm>
          <a:off x="7911353" y="56030"/>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56030</xdr:rowOff>
    </xdr:from>
    <xdr:to>
      <xdr:col>22</xdr:col>
      <xdr:colOff>38100</xdr:colOff>
      <xdr:row>1</xdr:row>
      <xdr:rowOff>256616</xdr:rowOff>
    </xdr:to>
    <xdr:sp macro="" textlink="">
      <xdr:nvSpPr>
        <xdr:cNvPr id="9" name="AutoShape 21">
          <a:hlinkClick xmlns:r="http://schemas.openxmlformats.org/officeDocument/2006/relationships" r:id="rId5"/>
        </xdr:cNvPr>
        <xdr:cNvSpPr>
          <a:spLocks noChangeArrowheads="1"/>
        </xdr:cNvSpPr>
      </xdr:nvSpPr>
      <xdr:spPr bwMode="auto">
        <a:xfrm>
          <a:off x="9984441" y="56030"/>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58269</xdr:rowOff>
    </xdr:from>
    <xdr:to>
      <xdr:col>23</xdr:col>
      <xdr:colOff>681880</xdr:colOff>
      <xdr:row>2</xdr:row>
      <xdr:rowOff>1119</xdr:rowOff>
    </xdr:to>
    <xdr:sp macro="" textlink="">
      <xdr:nvSpPr>
        <xdr:cNvPr id="10" name="AutoShape 19">
          <a:hlinkClick xmlns:r="http://schemas.openxmlformats.org/officeDocument/2006/relationships" r:id="rId6"/>
        </xdr:cNvPr>
        <xdr:cNvSpPr>
          <a:spLocks noChangeArrowheads="1"/>
        </xdr:cNvSpPr>
      </xdr:nvSpPr>
      <xdr:spPr bwMode="auto">
        <a:xfrm>
          <a:off x="11020427" y="58269"/>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58269</xdr:rowOff>
    </xdr:from>
    <xdr:to>
      <xdr:col>26</xdr:col>
      <xdr:colOff>224680</xdr:colOff>
      <xdr:row>2</xdr:row>
      <xdr:rowOff>1119</xdr:rowOff>
    </xdr:to>
    <xdr:sp macro="" textlink="">
      <xdr:nvSpPr>
        <xdr:cNvPr id="11" name="AutoShape 21">
          <a:hlinkClick xmlns:r="http://schemas.openxmlformats.org/officeDocument/2006/relationships" r:id="rId7"/>
        </xdr:cNvPr>
        <xdr:cNvSpPr>
          <a:spLocks noChangeArrowheads="1"/>
        </xdr:cNvSpPr>
      </xdr:nvSpPr>
      <xdr:spPr bwMode="auto">
        <a:xfrm>
          <a:off x="12053609" y="58269"/>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50846"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50847" name="AutoShape 3"/>
        <xdr:cNvSpPr>
          <a:spLocks noChangeArrowheads="1"/>
        </xdr:cNvSpPr>
      </xdr:nvSpPr>
      <xdr:spPr bwMode="auto">
        <a:xfrm>
          <a:off x="2085975"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50532" name="Text Box 4"/>
        <xdr:cNvSpPr txBox="1">
          <a:spLocks noChangeArrowheads="1"/>
        </xdr:cNvSpPr>
      </xdr:nvSpPr>
      <xdr:spPr bwMode="auto">
        <a:xfrm>
          <a:off x="2114550"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50849" name="AutoShape 5"/>
        <xdr:cNvSpPr>
          <a:spLocks noChangeArrowheads="1"/>
        </xdr:cNvSpPr>
      </xdr:nvSpPr>
      <xdr:spPr bwMode="auto">
        <a:xfrm>
          <a:off x="2085975"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50534" name="Text Box 6"/>
        <xdr:cNvSpPr txBox="1">
          <a:spLocks noChangeArrowheads="1"/>
        </xdr:cNvSpPr>
      </xdr:nvSpPr>
      <xdr:spPr bwMode="auto">
        <a:xfrm>
          <a:off x="2143125"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50851" name="AutoShape 7"/>
        <xdr:cNvSpPr>
          <a:spLocks noChangeArrowheads="1"/>
        </xdr:cNvSpPr>
      </xdr:nvSpPr>
      <xdr:spPr bwMode="auto">
        <a:xfrm>
          <a:off x="2085975"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50536" name="Text Box 8"/>
        <xdr:cNvSpPr txBox="1">
          <a:spLocks noChangeArrowheads="1"/>
        </xdr:cNvSpPr>
      </xdr:nvSpPr>
      <xdr:spPr bwMode="auto">
        <a:xfrm>
          <a:off x="2143125"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50853" name="AutoShape 9"/>
        <xdr:cNvSpPr>
          <a:spLocks noChangeArrowheads="1"/>
        </xdr:cNvSpPr>
      </xdr:nvSpPr>
      <xdr:spPr bwMode="auto">
        <a:xfrm>
          <a:off x="2085975"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50538" name="Text Box 10"/>
        <xdr:cNvSpPr txBox="1">
          <a:spLocks noChangeArrowheads="1"/>
        </xdr:cNvSpPr>
      </xdr:nvSpPr>
      <xdr:spPr bwMode="auto">
        <a:xfrm>
          <a:off x="2105025"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50855" name="AutoShape 11"/>
        <xdr:cNvSpPr>
          <a:spLocks noChangeArrowheads="1"/>
        </xdr:cNvSpPr>
      </xdr:nvSpPr>
      <xdr:spPr bwMode="auto">
        <a:xfrm>
          <a:off x="2085975"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50540" name="Text Box 12"/>
        <xdr:cNvSpPr txBox="1">
          <a:spLocks noChangeArrowheads="1"/>
        </xdr:cNvSpPr>
      </xdr:nvSpPr>
      <xdr:spPr bwMode="auto">
        <a:xfrm>
          <a:off x="2143125"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50857" name="AutoShape 13"/>
        <xdr:cNvSpPr>
          <a:spLocks noChangeArrowheads="1"/>
        </xdr:cNvSpPr>
      </xdr:nvSpPr>
      <xdr:spPr bwMode="auto">
        <a:xfrm>
          <a:off x="2085975"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50542" name="Text Box 14"/>
        <xdr:cNvSpPr txBox="1">
          <a:spLocks noChangeArrowheads="1"/>
        </xdr:cNvSpPr>
      </xdr:nvSpPr>
      <xdr:spPr bwMode="auto">
        <a:xfrm>
          <a:off x="2124075"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50544" name="AutoShape 16"/>
        <xdr:cNvSpPr>
          <a:spLocks noChangeArrowheads="1"/>
        </xdr:cNvSpPr>
      </xdr:nvSpPr>
      <xdr:spPr bwMode="auto">
        <a:xfrm>
          <a:off x="1619250"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24" name="AutoShape 43">
          <a:hlinkClick xmlns:r="http://schemas.openxmlformats.org/officeDocument/2006/relationships" r:id="rId2"/>
        </xdr:cNvPr>
        <xdr:cNvSpPr>
          <a:spLocks noChangeArrowheads="1"/>
        </xdr:cNvSpPr>
      </xdr:nvSpPr>
      <xdr:spPr bwMode="auto">
        <a:xfrm>
          <a:off x="116586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5" name="AutoShape 44">
          <a:hlinkClick xmlns:r="http://schemas.openxmlformats.org/officeDocument/2006/relationships" r:id="rId3"/>
        </xdr:cNvPr>
        <xdr:cNvSpPr>
          <a:spLocks noChangeArrowheads="1"/>
        </xdr:cNvSpPr>
      </xdr:nvSpPr>
      <xdr:spPr bwMode="auto">
        <a:xfrm>
          <a:off x="116586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6" name="AutoShape 45">
          <a:hlinkClick xmlns:r="http://schemas.openxmlformats.org/officeDocument/2006/relationships" r:id="rId4"/>
        </xdr:cNvPr>
        <xdr:cNvSpPr>
          <a:spLocks noChangeArrowheads="1"/>
        </xdr:cNvSpPr>
      </xdr:nvSpPr>
      <xdr:spPr bwMode="auto">
        <a:xfrm>
          <a:off x="116586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7" name="AutoShape 43">
          <a:hlinkClick xmlns:r="http://schemas.openxmlformats.org/officeDocument/2006/relationships" r:id="rId5"/>
        </xdr:cNvPr>
        <xdr:cNvSpPr>
          <a:spLocks noChangeArrowheads="1"/>
        </xdr:cNvSpPr>
      </xdr:nvSpPr>
      <xdr:spPr bwMode="auto">
        <a:xfrm>
          <a:off x="130492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8" name="AutoShape 45">
          <a:hlinkClick xmlns:r="http://schemas.openxmlformats.org/officeDocument/2006/relationships" r:id="rId6"/>
        </xdr:cNvPr>
        <xdr:cNvSpPr>
          <a:spLocks noChangeArrowheads="1"/>
        </xdr:cNvSpPr>
      </xdr:nvSpPr>
      <xdr:spPr bwMode="auto">
        <a:xfrm>
          <a:off x="130492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97730"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97731"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56030</xdr:rowOff>
    </xdr:from>
    <xdr:to>
      <xdr:col>20</xdr:col>
      <xdr:colOff>114300</xdr:colOff>
      <xdr:row>1</xdr:row>
      <xdr:rowOff>256616</xdr:rowOff>
    </xdr:to>
    <xdr:sp macro="" textlink="">
      <xdr:nvSpPr>
        <xdr:cNvPr id="7" name="AutoShape 19">
          <a:hlinkClick xmlns:r="http://schemas.openxmlformats.org/officeDocument/2006/relationships" r:id="rId3"/>
        </xdr:cNvPr>
        <xdr:cNvSpPr>
          <a:spLocks noChangeArrowheads="1"/>
        </xdr:cNvSpPr>
      </xdr:nvSpPr>
      <xdr:spPr bwMode="auto">
        <a:xfrm>
          <a:off x="8951259" y="56030"/>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56030</xdr:rowOff>
    </xdr:from>
    <xdr:to>
      <xdr:col>17</xdr:col>
      <xdr:colOff>561975</xdr:colOff>
      <xdr:row>1</xdr:row>
      <xdr:rowOff>256616</xdr:rowOff>
    </xdr:to>
    <xdr:sp macro="" textlink="">
      <xdr:nvSpPr>
        <xdr:cNvPr id="8" name="AutoShape 20">
          <a:hlinkClick xmlns:r="http://schemas.openxmlformats.org/officeDocument/2006/relationships" r:id="rId4"/>
        </xdr:cNvPr>
        <xdr:cNvSpPr>
          <a:spLocks noChangeArrowheads="1"/>
        </xdr:cNvSpPr>
      </xdr:nvSpPr>
      <xdr:spPr bwMode="auto">
        <a:xfrm>
          <a:off x="7911353" y="56030"/>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56030</xdr:rowOff>
    </xdr:from>
    <xdr:to>
      <xdr:col>22</xdr:col>
      <xdr:colOff>38100</xdr:colOff>
      <xdr:row>1</xdr:row>
      <xdr:rowOff>256616</xdr:rowOff>
    </xdr:to>
    <xdr:sp macro="" textlink="">
      <xdr:nvSpPr>
        <xdr:cNvPr id="9" name="AutoShape 21">
          <a:hlinkClick xmlns:r="http://schemas.openxmlformats.org/officeDocument/2006/relationships" r:id="rId5"/>
        </xdr:cNvPr>
        <xdr:cNvSpPr>
          <a:spLocks noChangeArrowheads="1"/>
        </xdr:cNvSpPr>
      </xdr:nvSpPr>
      <xdr:spPr bwMode="auto">
        <a:xfrm>
          <a:off x="9984441" y="56030"/>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58269</xdr:rowOff>
    </xdr:from>
    <xdr:to>
      <xdr:col>23</xdr:col>
      <xdr:colOff>681880</xdr:colOff>
      <xdr:row>2</xdr:row>
      <xdr:rowOff>1119</xdr:rowOff>
    </xdr:to>
    <xdr:sp macro="" textlink="">
      <xdr:nvSpPr>
        <xdr:cNvPr id="10" name="AutoShape 19">
          <a:hlinkClick xmlns:r="http://schemas.openxmlformats.org/officeDocument/2006/relationships" r:id="rId6"/>
        </xdr:cNvPr>
        <xdr:cNvSpPr>
          <a:spLocks noChangeArrowheads="1"/>
        </xdr:cNvSpPr>
      </xdr:nvSpPr>
      <xdr:spPr bwMode="auto">
        <a:xfrm>
          <a:off x="11020427" y="58269"/>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58269</xdr:rowOff>
    </xdr:from>
    <xdr:to>
      <xdr:col>26</xdr:col>
      <xdr:colOff>224680</xdr:colOff>
      <xdr:row>2</xdr:row>
      <xdr:rowOff>1119</xdr:rowOff>
    </xdr:to>
    <xdr:sp macro="" textlink="">
      <xdr:nvSpPr>
        <xdr:cNvPr id="11" name="AutoShape 21">
          <a:hlinkClick xmlns:r="http://schemas.openxmlformats.org/officeDocument/2006/relationships" r:id="rId7"/>
        </xdr:cNvPr>
        <xdr:cNvSpPr>
          <a:spLocks noChangeArrowheads="1"/>
        </xdr:cNvSpPr>
      </xdr:nvSpPr>
      <xdr:spPr bwMode="auto">
        <a:xfrm>
          <a:off x="12053609" y="58269"/>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201026"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201027" name="AutoShape 3"/>
        <xdr:cNvSpPr>
          <a:spLocks noChangeArrowheads="1"/>
        </xdr:cNvSpPr>
      </xdr:nvSpPr>
      <xdr:spPr bwMode="auto">
        <a:xfrm>
          <a:off x="2085975"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200708" name="Text Box 4"/>
        <xdr:cNvSpPr txBox="1">
          <a:spLocks noChangeArrowheads="1"/>
        </xdr:cNvSpPr>
      </xdr:nvSpPr>
      <xdr:spPr bwMode="auto">
        <a:xfrm>
          <a:off x="2114550"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201029" name="AutoShape 5"/>
        <xdr:cNvSpPr>
          <a:spLocks noChangeArrowheads="1"/>
        </xdr:cNvSpPr>
      </xdr:nvSpPr>
      <xdr:spPr bwMode="auto">
        <a:xfrm>
          <a:off x="2085975"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200710" name="Text Box 6"/>
        <xdr:cNvSpPr txBox="1">
          <a:spLocks noChangeArrowheads="1"/>
        </xdr:cNvSpPr>
      </xdr:nvSpPr>
      <xdr:spPr bwMode="auto">
        <a:xfrm>
          <a:off x="2143125"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201031" name="AutoShape 7"/>
        <xdr:cNvSpPr>
          <a:spLocks noChangeArrowheads="1"/>
        </xdr:cNvSpPr>
      </xdr:nvSpPr>
      <xdr:spPr bwMode="auto">
        <a:xfrm>
          <a:off x="2085975"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200712" name="Text Box 8"/>
        <xdr:cNvSpPr txBox="1">
          <a:spLocks noChangeArrowheads="1"/>
        </xdr:cNvSpPr>
      </xdr:nvSpPr>
      <xdr:spPr bwMode="auto">
        <a:xfrm>
          <a:off x="2143125"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201033" name="AutoShape 9"/>
        <xdr:cNvSpPr>
          <a:spLocks noChangeArrowheads="1"/>
        </xdr:cNvSpPr>
      </xdr:nvSpPr>
      <xdr:spPr bwMode="auto">
        <a:xfrm>
          <a:off x="2085975"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200714" name="Text Box 10"/>
        <xdr:cNvSpPr txBox="1">
          <a:spLocks noChangeArrowheads="1"/>
        </xdr:cNvSpPr>
      </xdr:nvSpPr>
      <xdr:spPr bwMode="auto">
        <a:xfrm>
          <a:off x="2105025"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201035" name="AutoShape 11"/>
        <xdr:cNvSpPr>
          <a:spLocks noChangeArrowheads="1"/>
        </xdr:cNvSpPr>
      </xdr:nvSpPr>
      <xdr:spPr bwMode="auto">
        <a:xfrm>
          <a:off x="2085975"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200716" name="Text Box 12"/>
        <xdr:cNvSpPr txBox="1">
          <a:spLocks noChangeArrowheads="1"/>
        </xdr:cNvSpPr>
      </xdr:nvSpPr>
      <xdr:spPr bwMode="auto">
        <a:xfrm>
          <a:off x="2143125"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201037" name="AutoShape 13"/>
        <xdr:cNvSpPr>
          <a:spLocks noChangeArrowheads="1"/>
        </xdr:cNvSpPr>
      </xdr:nvSpPr>
      <xdr:spPr bwMode="auto">
        <a:xfrm>
          <a:off x="2085975"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200718" name="Text Box 14"/>
        <xdr:cNvSpPr txBox="1">
          <a:spLocks noChangeArrowheads="1"/>
        </xdr:cNvSpPr>
      </xdr:nvSpPr>
      <xdr:spPr bwMode="auto">
        <a:xfrm>
          <a:off x="2124075"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200720" name="AutoShape 16"/>
        <xdr:cNvSpPr>
          <a:spLocks noChangeArrowheads="1"/>
        </xdr:cNvSpPr>
      </xdr:nvSpPr>
      <xdr:spPr bwMode="auto">
        <a:xfrm>
          <a:off x="1619250"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24" name="AutoShape 43">
          <a:hlinkClick xmlns:r="http://schemas.openxmlformats.org/officeDocument/2006/relationships" r:id="rId2"/>
        </xdr:cNvPr>
        <xdr:cNvSpPr>
          <a:spLocks noChangeArrowheads="1"/>
        </xdr:cNvSpPr>
      </xdr:nvSpPr>
      <xdr:spPr bwMode="auto">
        <a:xfrm>
          <a:off x="116586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5" name="AutoShape 44">
          <a:hlinkClick xmlns:r="http://schemas.openxmlformats.org/officeDocument/2006/relationships" r:id="rId3"/>
        </xdr:cNvPr>
        <xdr:cNvSpPr>
          <a:spLocks noChangeArrowheads="1"/>
        </xdr:cNvSpPr>
      </xdr:nvSpPr>
      <xdr:spPr bwMode="auto">
        <a:xfrm>
          <a:off x="116586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6" name="AutoShape 45">
          <a:hlinkClick xmlns:r="http://schemas.openxmlformats.org/officeDocument/2006/relationships" r:id="rId4"/>
        </xdr:cNvPr>
        <xdr:cNvSpPr>
          <a:spLocks noChangeArrowheads="1"/>
        </xdr:cNvSpPr>
      </xdr:nvSpPr>
      <xdr:spPr bwMode="auto">
        <a:xfrm>
          <a:off x="116586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7" name="AutoShape 43">
          <a:hlinkClick xmlns:r="http://schemas.openxmlformats.org/officeDocument/2006/relationships" r:id="rId5"/>
        </xdr:cNvPr>
        <xdr:cNvSpPr>
          <a:spLocks noChangeArrowheads="1"/>
        </xdr:cNvSpPr>
      </xdr:nvSpPr>
      <xdr:spPr bwMode="auto">
        <a:xfrm>
          <a:off x="130492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8" name="AutoShape 45">
          <a:hlinkClick xmlns:r="http://schemas.openxmlformats.org/officeDocument/2006/relationships" r:id="rId6"/>
        </xdr:cNvPr>
        <xdr:cNvSpPr>
          <a:spLocks noChangeArrowheads="1"/>
        </xdr:cNvSpPr>
      </xdr:nvSpPr>
      <xdr:spPr bwMode="auto">
        <a:xfrm>
          <a:off x="130492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35302"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35303" name="Grafiek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56030</xdr:rowOff>
    </xdr:from>
    <xdr:to>
      <xdr:col>20</xdr:col>
      <xdr:colOff>114300</xdr:colOff>
      <xdr:row>1</xdr:row>
      <xdr:rowOff>256616</xdr:rowOff>
    </xdr:to>
    <xdr:sp macro="" textlink="">
      <xdr:nvSpPr>
        <xdr:cNvPr id="7" name="AutoShape 19">
          <a:hlinkClick xmlns:r="http://schemas.openxmlformats.org/officeDocument/2006/relationships" r:id="rId3"/>
        </xdr:cNvPr>
        <xdr:cNvSpPr>
          <a:spLocks noChangeArrowheads="1"/>
        </xdr:cNvSpPr>
      </xdr:nvSpPr>
      <xdr:spPr bwMode="auto">
        <a:xfrm>
          <a:off x="8951259" y="56030"/>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56030</xdr:rowOff>
    </xdr:from>
    <xdr:to>
      <xdr:col>17</xdr:col>
      <xdr:colOff>561975</xdr:colOff>
      <xdr:row>1</xdr:row>
      <xdr:rowOff>256616</xdr:rowOff>
    </xdr:to>
    <xdr:sp macro="" textlink="">
      <xdr:nvSpPr>
        <xdr:cNvPr id="8" name="AutoShape 20">
          <a:hlinkClick xmlns:r="http://schemas.openxmlformats.org/officeDocument/2006/relationships" r:id="rId4"/>
        </xdr:cNvPr>
        <xdr:cNvSpPr>
          <a:spLocks noChangeArrowheads="1"/>
        </xdr:cNvSpPr>
      </xdr:nvSpPr>
      <xdr:spPr bwMode="auto">
        <a:xfrm>
          <a:off x="7911353" y="56030"/>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56030</xdr:rowOff>
    </xdr:from>
    <xdr:to>
      <xdr:col>22</xdr:col>
      <xdr:colOff>38100</xdr:colOff>
      <xdr:row>1</xdr:row>
      <xdr:rowOff>256616</xdr:rowOff>
    </xdr:to>
    <xdr:sp macro="" textlink="">
      <xdr:nvSpPr>
        <xdr:cNvPr id="9" name="AutoShape 21">
          <a:hlinkClick xmlns:r="http://schemas.openxmlformats.org/officeDocument/2006/relationships" r:id="rId5"/>
        </xdr:cNvPr>
        <xdr:cNvSpPr>
          <a:spLocks noChangeArrowheads="1"/>
        </xdr:cNvSpPr>
      </xdr:nvSpPr>
      <xdr:spPr bwMode="auto">
        <a:xfrm>
          <a:off x="9984441" y="56030"/>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58269</xdr:rowOff>
    </xdr:from>
    <xdr:to>
      <xdr:col>23</xdr:col>
      <xdr:colOff>681880</xdr:colOff>
      <xdr:row>2</xdr:row>
      <xdr:rowOff>1119</xdr:rowOff>
    </xdr:to>
    <xdr:sp macro="" textlink="">
      <xdr:nvSpPr>
        <xdr:cNvPr id="10" name="AutoShape 19">
          <a:hlinkClick xmlns:r="http://schemas.openxmlformats.org/officeDocument/2006/relationships" r:id="rId6"/>
        </xdr:cNvPr>
        <xdr:cNvSpPr>
          <a:spLocks noChangeArrowheads="1"/>
        </xdr:cNvSpPr>
      </xdr:nvSpPr>
      <xdr:spPr bwMode="auto">
        <a:xfrm>
          <a:off x="11020427" y="58269"/>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58269</xdr:rowOff>
    </xdr:from>
    <xdr:to>
      <xdr:col>26</xdr:col>
      <xdr:colOff>224680</xdr:colOff>
      <xdr:row>2</xdr:row>
      <xdr:rowOff>1119</xdr:rowOff>
    </xdr:to>
    <xdr:sp macro="" textlink="">
      <xdr:nvSpPr>
        <xdr:cNvPr id="11" name="AutoShape 21">
          <a:hlinkClick xmlns:r="http://schemas.openxmlformats.org/officeDocument/2006/relationships" r:id="rId7"/>
        </xdr:cNvPr>
        <xdr:cNvSpPr>
          <a:spLocks noChangeArrowheads="1"/>
        </xdr:cNvSpPr>
      </xdr:nvSpPr>
      <xdr:spPr bwMode="auto">
        <a:xfrm>
          <a:off x="12053609" y="58269"/>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44724"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44725" name="AutoShape 5"/>
        <xdr:cNvSpPr>
          <a:spLocks noChangeArrowheads="1"/>
        </xdr:cNvSpPr>
      </xdr:nvSpPr>
      <xdr:spPr bwMode="auto">
        <a:xfrm>
          <a:off x="2085975"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44388" name="Text Box 4"/>
        <xdr:cNvSpPr txBox="1">
          <a:spLocks noChangeArrowheads="1"/>
        </xdr:cNvSpPr>
      </xdr:nvSpPr>
      <xdr:spPr bwMode="auto">
        <a:xfrm>
          <a:off x="2114550"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44727" name="AutoShape 7"/>
        <xdr:cNvSpPr>
          <a:spLocks noChangeArrowheads="1"/>
        </xdr:cNvSpPr>
      </xdr:nvSpPr>
      <xdr:spPr bwMode="auto">
        <a:xfrm>
          <a:off x="2085975"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44392" name="Text Box 8"/>
        <xdr:cNvSpPr txBox="1">
          <a:spLocks noChangeArrowheads="1"/>
        </xdr:cNvSpPr>
      </xdr:nvSpPr>
      <xdr:spPr bwMode="auto">
        <a:xfrm>
          <a:off x="2143125"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44729" name="AutoShape 9"/>
        <xdr:cNvSpPr>
          <a:spLocks noChangeArrowheads="1"/>
        </xdr:cNvSpPr>
      </xdr:nvSpPr>
      <xdr:spPr bwMode="auto">
        <a:xfrm>
          <a:off x="2085975"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44394" name="Text Box 10"/>
        <xdr:cNvSpPr txBox="1">
          <a:spLocks noChangeArrowheads="1"/>
        </xdr:cNvSpPr>
      </xdr:nvSpPr>
      <xdr:spPr bwMode="auto">
        <a:xfrm>
          <a:off x="2143125"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44731" name="AutoShape 11"/>
        <xdr:cNvSpPr>
          <a:spLocks noChangeArrowheads="1"/>
        </xdr:cNvSpPr>
      </xdr:nvSpPr>
      <xdr:spPr bwMode="auto">
        <a:xfrm>
          <a:off x="2085975"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44396" name="Text Box 12"/>
        <xdr:cNvSpPr txBox="1">
          <a:spLocks noChangeArrowheads="1"/>
        </xdr:cNvSpPr>
      </xdr:nvSpPr>
      <xdr:spPr bwMode="auto">
        <a:xfrm>
          <a:off x="2105025"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44733" name="AutoShape 13"/>
        <xdr:cNvSpPr>
          <a:spLocks noChangeArrowheads="1"/>
        </xdr:cNvSpPr>
      </xdr:nvSpPr>
      <xdr:spPr bwMode="auto">
        <a:xfrm>
          <a:off x="2085975"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44398" name="Text Box 14"/>
        <xdr:cNvSpPr txBox="1">
          <a:spLocks noChangeArrowheads="1"/>
        </xdr:cNvSpPr>
      </xdr:nvSpPr>
      <xdr:spPr bwMode="auto">
        <a:xfrm>
          <a:off x="2143125"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44735" name="AutoShape 15"/>
        <xdr:cNvSpPr>
          <a:spLocks noChangeArrowheads="1"/>
        </xdr:cNvSpPr>
      </xdr:nvSpPr>
      <xdr:spPr bwMode="auto">
        <a:xfrm>
          <a:off x="2085975"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44400" name="Text Box 16"/>
        <xdr:cNvSpPr txBox="1">
          <a:spLocks noChangeArrowheads="1"/>
        </xdr:cNvSpPr>
      </xdr:nvSpPr>
      <xdr:spPr bwMode="auto">
        <a:xfrm>
          <a:off x="2124075"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44402" name="AutoShape 18"/>
        <xdr:cNvSpPr>
          <a:spLocks noChangeArrowheads="1"/>
        </xdr:cNvSpPr>
      </xdr:nvSpPr>
      <xdr:spPr bwMode="auto">
        <a:xfrm>
          <a:off x="1619250"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21" name="AutoShape 43">
          <a:hlinkClick xmlns:r="http://schemas.openxmlformats.org/officeDocument/2006/relationships" r:id="rId2"/>
        </xdr:cNvPr>
        <xdr:cNvSpPr>
          <a:spLocks noChangeArrowheads="1"/>
        </xdr:cNvSpPr>
      </xdr:nvSpPr>
      <xdr:spPr bwMode="auto">
        <a:xfrm>
          <a:off x="116586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2" name="AutoShape 44">
          <a:hlinkClick xmlns:r="http://schemas.openxmlformats.org/officeDocument/2006/relationships" r:id="rId3"/>
        </xdr:cNvPr>
        <xdr:cNvSpPr>
          <a:spLocks noChangeArrowheads="1"/>
        </xdr:cNvSpPr>
      </xdr:nvSpPr>
      <xdr:spPr bwMode="auto">
        <a:xfrm>
          <a:off x="116586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3" name="AutoShape 45">
          <a:hlinkClick xmlns:r="http://schemas.openxmlformats.org/officeDocument/2006/relationships" r:id="rId4"/>
        </xdr:cNvPr>
        <xdr:cNvSpPr>
          <a:spLocks noChangeArrowheads="1"/>
        </xdr:cNvSpPr>
      </xdr:nvSpPr>
      <xdr:spPr bwMode="auto">
        <a:xfrm>
          <a:off x="116586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4" name="AutoShape 43">
          <a:hlinkClick xmlns:r="http://schemas.openxmlformats.org/officeDocument/2006/relationships" r:id="rId5"/>
        </xdr:cNvPr>
        <xdr:cNvSpPr>
          <a:spLocks noChangeArrowheads="1"/>
        </xdr:cNvSpPr>
      </xdr:nvSpPr>
      <xdr:spPr bwMode="auto">
        <a:xfrm>
          <a:off x="130492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5" name="AutoShape 45">
          <a:hlinkClick xmlns:r="http://schemas.openxmlformats.org/officeDocument/2006/relationships" r:id="rId6"/>
        </xdr:cNvPr>
        <xdr:cNvSpPr>
          <a:spLocks noChangeArrowheads="1"/>
        </xdr:cNvSpPr>
      </xdr:nvSpPr>
      <xdr:spPr bwMode="auto">
        <a:xfrm>
          <a:off x="130492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4</xdr:col>
      <xdr:colOff>167787</xdr:colOff>
      <xdr:row>0</xdr:row>
      <xdr:rowOff>123825</xdr:rowOff>
    </xdr:from>
    <xdr:to>
      <xdr:col>5</xdr:col>
      <xdr:colOff>855053</xdr:colOff>
      <xdr:row>2</xdr:row>
      <xdr:rowOff>38100</xdr:rowOff>
    </xdr:to>
    <xdr:sp macro="" textlink="">
      <xdr:nvSpPr>
        <xdr:cNvPr id="207885" name="AutoShape 13"/>
        <xdr:cNvSpPr>
          <a:spLocks noChangeArrowheads="1"/>
        </xdr:cNvSpPr>
      </xdr:nvSpPr>
      <xdr:spPr bwMode="auto">
        <a:xfrm>
          <a:off x="2761518" y="123825"/>
          <a:ext cx="1888881" cy="339237"/>
        </a:xfrm>
        <a:prstGeom prst="wedgeRectCallout">
          <a:avLst>
            <a:gd name="adj1" fmla="val 59597"/>
            <a:gd name="adj2" fmla="val 113889"/>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7</xdr:col>
      <xdr:colOff>0</xdr:colOff>
      <xdr:row>5</xdr:row>
      <xdr:rowOff>19050</xdr:rowOff>
    </xdr:from>
    <xdr:to>
      <xdr:col>19</xdr:col>
      <xdr:colOff>609600</xdr:colOff>
      <xdr:row>29</xdr:row>
      <xdr:rowOff>19050</xdr:rowOff>
    </xdr:to>
    <xdr:graphicFrame macro="">
      <xdr:nvGraphicFramePr>
        <xdr:cNvPr id="722116" name="Grafiek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30</xdr:row>
      <xdr:rowOff>0</xdr:rowOff>
    </xdr:from>
    <xdr:to>
      <xdr:col>20</xdr:col>
      <xdr:colOff>0</xdr:colOff>
      <xdr:row>54</xdr:row>
      <xdr:rowOff>0</xdr:rowOff>
    </xdr:to>
    <xdr:graphicFrame macro="">
      <xdr:nvGraphicFramePr>
        <xdr:cNvPr id="722117" name="Grafiek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55</xdr:row>
      <xdr:rowOff>19050</xdr:rowOff>
    </xdr:from>
    <xdr:to>
      <xdr:col>20</xdr:col>
      <xdr:colOff>0</xdr:colOff>
      <xdr:row>79</xdr:row>
      <xdr:rowOff>19050</xdr:rowOff>
    </xdr:to>
    <xdr:graphicFrame macro="">
      <xdr:nvGraphicFramePr>
        <xdr:cNvPr id="722118" name="Grafiek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30</xdr:row>
      <xdr:rowOff>19050</xdr:rowOff>
    </xdr:from>
    <xdr:to>
      <xdr:col>35</xdr:col>
      <xdr:colOff>28575</xdr:colOff>
      <xdr:row>54</xdr:row>
      <xdr:rowOff>14654</xdr:rowOff>
    </xdr:to>
    <xdr:graphicFrame macro="">
      <xdr:nvGraphicFramePr>
        <xdr:cNvPr id="722119" name="Grafiek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19050</xdr:colOff>
      <xdr:row>4</xdr:row>
      <xdr:rowOff>146538</xdr:rowOff>
    </xdr:from>
    <xdr:to>
      <xdr:col>35</xdr:col>
      <xdr:colOff>19050</xdr:colOff>
      <xdr:row>29</xdr:row>
      <xdr:rowOff>2199</xdr:rowOff>
    </xdr:to>
    <xdr:graphicFrame macro="">
      <xdr:nvGraphicFramePr>
        <xdr:cNvPr id="722120" name="Grafiek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9525</xdr:colOff>
      <xdr:row>55</xdr:row>
      <xdr:rowOff>0</xdr:rowOff>
    </xdr:from>
    <xdr:to>
      <xdr:col>35</xdr:col>
      <xdr:colOff>28575</xdr:colOff>
      <xdr:row>78</xdr:row>
      <xdr:rowOff>152400</xdr:rowOff>
    </xdr:to>
    <xdr:graphicFrame macro="">
      <xdr:nvGraphicFramePr>
        <xdr:cNvPr id="722121" name="Grafiek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0</xdr:colOff>
      <xdr:row>9</xdr:row>
      <xdr:rowOff>114300</xdr:rowOff>
    </xdr:from>
    <xdr:to>
      <xdr:col>4</xdr:col>
      <xdr:colOff>1095375</xdr:colOff>
      <xdr:row>13</xdr:row>
      <xdr:rowOff>142142</xdr:rowOff>
    </xdr:to>
    <xdr:sp macro="" textlink="">
      <xdr:nvSpPr>
        <xdr:cNvPr id="122" name="AutoShape 36">
          <a:hlinkClick xmlns:r="http://schemas.openxmlformats.org/officeDocument/2006/relationships" r:id="rId7"/>
        </xdr:cNvPr>
        <xdr:cNvSpPr>
          <a:spLocks noChangeArrowheads="1"/>
        </xdr:cNvSpPr>
      </xdr:nvSpPr>
      <xdr:spPr bwMode="auto">
        <a:xfrm>
          <a:off x="2593731" y="1799492"/>
          <a:ext cx="1095375" cy="672612"/>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4</xdr:col>
      <xdr:colOff>0</xdr:colOff>
      <xdr:row>5</xdr:row>
      <xdr:rowOff>0</xdr:rowOff>
    </xdr:from>
    <xdr:to>
      <xdr:col>4</xdr:col>
      <xdr:colOff>1095375</xdr:colOff>
      <xdr:row>9</xdr:row>
      <xdr:rowOff>28575</xdr:rowOff>
    </xdr:to>
    <xdr:sp macro="" textlink="">
      <xdr:nvSpPr>
        <xdr:cNvPr id="123" name="AutoShape 37">
          <a:hlinkClick xmlns:r="http://schemas.openxmlformats.org/officeDocument/2006/relationships" r:id="rId8"/>
        </xdr:cNvPr>
        <xdr:cNvSpPr>
          <a:spLocks noChangeArrowheads="1"/>
        </xdr:cNvSpPr>
      </xdr:nvSpPr>
      <xdr:spPr bwMode="auto">
        <a:xfrm>
          <a:off x="2593731" y="1040423"/>
          <a:ext cx="1095375" cy="673344"/>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4</xdr:col>
      <xdr:colOff>0</xdr:colOff>
      <xdr:row>24</xdr:row>
      <xdr:rowOff>71071</xdr:rowOff>
    </xdr:from>
    <xdr:to>
      <xdr:col>4</xdr:col>
      <xdr:colOff>1095375</xdr:colOff>
      <xdr:row>28</xdr:row>
      <xdr:rowOff>99647</xdr:rowOff>
    </xdr:to>
    <xdr:sp macro="" textlink="">
      <xdr:nvSpPr>
        <xdr:cNvPr id="124" name="AutoShape 38">
          <a:hlinkClick xmlns:r="http://schemas.openxmlformats.org/officeDocument/2006/relationships" r:id="rId9"/>
        </xdr:cNvPr>
        <xdr:cNvSpPr>
          <a:spLocks noChangeArrowheads="1"/>
        </xdr:cNvSpPr>
      </xdr:nvSpPr>
      <xdr:spPr bwMode="auto">
        <a:xfrm>
          <a:off x="2593731" y="4174148"/>
          <a:ext cx="1095375" cy="673345"/>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fPrintsWithSheet="0"/>
  </xdr:twoCellAnchor>
  <xdr:twoCellAnchor>
    <xdr:from>
      <xdr:col>4</xdr:col>
      <xdr:colOff>0</xdr:colOff>
      <xdr:row>19</xdr:row>
      <xdr:rowOff>80597</xdr:rowOff>
    </xdr:from>
    <xdr:to>
      <xdr:col>4</xdr:col>
      <xdr:colOff>1095375</xdr:colOff>
      <xdr:row>23</xdr:row>
      <xdr:rowOff>109171</xdr:rowOff>
    </xdr:to>
    <xdr:sp macro="" textlink="">
      <xdr:nvSpPr>
        <xdr:cNvPr id="125" name="AutoShape 39">
          <a:hlinkClick xmlns:r="http://schemas.openxmlformats.org/officeDocument/2006/relationships" r:id="rId10"/>
        </xdr:cNvPr>
        <xdr:cNvSpPr>
          <a:spLocks noChangeArrowheads="1"/>
        </xdr:cNvSpPr>
      </xdr:nvSpPr>
      <xdr:spPr bwMode="auto">
        <a:xfrm>
          <a:off x="2593731" y="3377712"/>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fPrintsWithSheet="0"/>
  </xdr:twoCellAnchor>
  <xdr:twoCellAnchor>
    <xdr:from>
      <xdr:col>4</xdr:col>
      <xdr:colOff>4396</xdr:colOff>
      <xdr:row>34</xdr:row>
      <xdr:rowOff>3663</xdr:rowOff>
    </xdr:from>
    <xdr:to>
      <xdr:col>4</xdr:col>
      <xdr:colOff>1099771</xdr:colOff>
      <xdr:row>38</xdr:row>
      <xdr:rowOff>3663</xdr:rowOff>
    </xdr:to>
    <xdr:sp macro="" textlink="">
      <xdr:nvSpPr>
        <xdr:cNvPr id="126" name="AutoShape 40">
          <a:hlinkClick xmlns:r="http://schemas.openxmlformats.org/officeDocument/2006/relationships" r:id="rId11"/>
        </xdr:cNvPr>
        <xdr:cNvSpPr>
          <a:spLocks noChangeArrowheads="1"/>
        </xdr:cNvSpPr>
      </xdr:nvSpPr>
      <xdr:spPr bwMode="auto">
        <a:xfrm>
          <a:off x="2598127" y="5747971"/>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fPrintsWithSheet="0"/>
  </xdr:twoCellAnchor>
  <xdr:twoCellAnchor>
    <xdr:from>
      <xdr:col>4</xdr:col>
      <xdr:colOff>0</xdr:colOff>
      <xdr:row>29</xdr:row>
      <xdr:rowOff>52022</xdr:rowOff>
    </xdr:from>
    <xdr:to>
      <xdr:col>4</xdr:col>
      <xdr:colOff>1095375</xdr:colOff>
      <xdr:row>33</xdr:row>
      <xdr:rowOff>51289</xdr:rowOff>
    </xdr:to>
    <xdr:sp macro="" textlink="">
      <xdr:nvSpPr>
        <xdr:cNvPr id="127" name="AutoShape 41">
          <a:hlinkClick xmlns:r="http://schemas.openxmlformats.org/officeDocument/2006/relationships" r:id="rId12"/>
        </xdr:cNvPr>
        <xdr:cNvSpPr>
          <a:spLocks noChangeArrowheads="1"/>
        </xdr:cNvSpPr>
      </xdr:nvSpPr>
      <xdr:spPr bwMode="auto">
        <a:xfrm>
          <a:off x="2593731" y="4961060"/>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fPrintsWithSheet="0"/>
  </xdr:twoCellAnchor>
  <xdr:twoCellAnchor>
    <xdr:from>
      <xdr:col>4</xdr:col>
      <xdr:colOff>0</xdr:colOff>
      <xdr:row>43</xdr:row>
      <xdr:rowOff>51289</xdr:rowOff>
    </xdr:from>
    <xdr:to>
      <xdr:col>4</xdr:col>
      <xdr:colOff>1095375</xdr:colOff>
      <xdr:row>47</xdr:row>
      <xdr:rowOff>80597</xdr:rowOff>
    </xdr:to>
    <xdr:sp macro="" textlink="">
      <xdr:nvSpPr>
        <xdr:cNvPr id="128" name="AutoShape 42">
          <a:hlinkClick xmlns:r="http://schemas.openxmlformats.org/officeDocument/2006/relationships" r:id="rId13"/>
        </xdr:cNvPr>
        <xdr:cNvSpPr>
          <a:spLocks noChangeArrowheads="1"/>
        </xdr:cNvSpPr>
      </xdr:nvSpPr>
      <xdr:spPr bwMode="auto">
        <a:xfrm>
          <a:off x="2593731" y="7304943"/>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fPrintsWithSheet="0"/>
  </xdr:twoCellAnchor>
  <xdr:twoCellAnchor>
    <xdr:from>
      <xdr:col>4</xdr:col>
      <xdr:colOff>0</xdr:colOff>
      <xdr:row>38</xdr:row>
      <xdr:rowOff>117231</xdr:rowOff>
    </xdr:from>
    <xdr:to>
      <xdr:col>4</xdr:col>
      <xdr:colOff>1095375</xdr:colOff>
      <xdr:row>42</xdr:row>
      <xdr:rowOff>117231</xdr:rowOff>
    </xdr:to>
    <xdr:sp macro="" textlink="">
      <xdr:nvSpPr>
        <xdr:cNvPr id="129" name="AutoShape 43">
          <a:hlinkClick xmlns:r="http://schemas.openxmlformats.org/officeDocument/2006/relationships" r:id="rId14"/>
        </xdr:cNvPr>
        <xdr:cNvSpPr>
          <a:spLocks noChangeArrowheads="1"/>
        </xdr:cNvSpPr>
      </xdr:nvSpPr>
      <xdr:spPr bwMode="auto">
        <a:xfrm>
          <a:off x="2593731" y="6535616"/>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fPrintsWithSheet="0"/>
  </xdr:twoCellAnchor>
  <xdr:twoCellAnchor>
    <xdr:from>
      <xdr:col>4</xdr:col>
      <xdr:colOff>4396</xdr:colOff>
      <xdr:row>53</xdr:row>
      <xdr:rowOff>23446</xdr:rowOff>
    </xdr:from>
    <xdr:to>
      <xdr:col>4</xdr:col>
      <xdr:colOff>1099771</xdr:colOff>
      <xdr:row>57</xdr:row>
      <xdr:rowOff>52022</xdr:rowOff>
    </xdr:to>
    <xdr:sp macro="" textlink="">
      <xdr:nvSpPr>
        <xdr:cNvPr id="130" name="AutoShape 44">
          <a:hlinkClick xmlns:r="http://schemas.openxmlformats.org/officeDocument/2006/relationships" r:id="rId15"/>
        </xdr:cNvPr>
        <xdr:cNvSpPr>
          <a:spLocks noChangeArrowheads="1"/>
        </xdr:cNvSpPr>
      </xdr:nvSpPr>
      <xdr:spPr bwMode="auto">
        <a:xfrm>
          <a:off x="2598127" y="8889023"/>
          <a:ext cx="1095375" cy="673345"/>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fPrintsWithSheet="0"/>
  </xdr:twoCellAnchor>
  <xdr:twoCellAnchor>
    <xdr:from>
      <xdr:col>4</xdr:col>
      <xdr:colOff>0</xdr:colOff>
      <xdr:row>48</xdr:row>
      <xdr:rowOff>32972</xdr:rowOff>
    </xdr:from>
    <xdr:to>
      <xdr:col>4</xdr:col>
      <xdr:colOff>1095375</xdr:colOff>
      <xdr:row>52</xdr:row>
      <xdr:rowOff>61546</xdr:rowOff>
    </xdr:to>
    <xdr:sp macro="" textlink="">
      <xdr:nvSpPr>
        <xdr:cNvPr id="131" name="AutoShape 45">
          <a:hlinkClick xmlns:r="http://schemas.openxmlformats.org/officeDocument/2006/relationships" r:id="rId16"/>
        </xdr:cNvPr>
        <xdr:cNvSpPr>
          <a:spLocks noChangeArrowheads="1"/>
        </xdr:cNvSpPr>
      </xdr:nvSpPr>
      <xdr:spPr bwMode="auto">
        <a:xfrm>
          <a:off x="2593731" y="8092587"/>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fPrintsWithSheet="0"/>
  </xdr:twoCellAnchor>
  <xdr:twoCellAnchor>
    <xdr:from>
      <xdr:col>4</xdr:col>
      <xdr:colOff>0</xdr:colOff>
      <xdr:row>58</xdr:row>
      <xdr:rowOff>4397</xdr:rowOff>
    </xdr:from>
    <xdr:to>
      <xdr:col>4</xdr:col>
      <xdr:colOff>1095375</xdr:colOff>
      <xdr:row>62</xdr:row>
      <xdr:rowOff>32971</xdr:rowOff>
    </xdr:to>
    <xdr:sp macro="" textlink="">
      <xdr:nvSpPr>
        <xdr:cNvPr id="132" name="AutoShape 46">
          <a:hlinkClick xmlns:r="http://schemas.openxmlformats.org/officeDocument/2006/relationships" r:id="rId17"/>
        </xdr:cNvPr>
        <xdr:cNvSpPr>
          <a:spLocks noChangeArrowheads="1"/>
        </xdr:cNvSpPr>
      </xdr:nvSpPr>
      <xdr:spPr bwMode="auto">
        <a:xfrm>
          <a:off x="2593731" y="9675935"/>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fPrintsWithSheet="0"/>
  </xdr:twoCellAnchor>
  <xdr:twoCellAnchor>
    <xdr:from>
      <xdr:col>4</xdr:col>
      <xdr:colOff>733</xdr:colOff>
      <xdr:row>14</xdr:row>
      <xdr:rowOff>88655</xdr:rowOff>
    </xdr:from>
    <xdr:to>
      <xdr:col>4</xdr:col>
      <xdr:colOff>1096108</xdr:colOff>
      <xdr:row>18</xdr:row>
      <xdr:rowOff>116498</xdr:rowOff>
    </xdr:to>
    <xdr:sp macro="" textlink="">
      <xdr:nvSpPr>
        <xdr:cNvPr id="133" name="AutoShape 36">
          <a:hlinkClick xmlns:r="http://schemas.openxmlformats.org/officeDocument/2006/relationships" r:id="rId18"/>
        </xdr:cNvPr>
        <xdr:cNvSpPr>
          <a:spLocks noChangeArrowheads="1"/>
        </xdr:cNvSpPr>
      </xdr:nvSpPr>
      <xdr:spPr bwMode="auto">
        <a:xfrm>
          <a:off x="2594464" y="2579809"/>
          <a:ext cx="1095375" cy="672612"/>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5</xdr:col>
      <xdr:colOff>659422</xdr:colOff>
      <xdr:row>21</xdr:row>
      <xdr:rowOff>39566</xdr:rowOff>
    </xdr:from>
    <xdr:to>
      <xdr:col>7</xdr:col>
      <xdr:colOff>2197</xdr:colOff>
      <xdr:row>24</xdr:row>
      <xdr:rowOff>68141</xdr:rowOff>
    </xdr:to>
    <xdr:sp macro="" textlink="">
      <xdr:nvSpPr>
        <xdr:cNvPr id="93" name="AutoShape 15"/>
        <xdr:cNvSpPr>
          <a:spLocks noChangeArrowheads="1"/>
        </xdr:cNvSpPr>
      </xdr:nvSpPr>
      <xdr:spPr bwMode="auto">
        <a:xfrm>
          <a:off x="4454768" y="3659066"/>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22</xdr:row>
      <xdr:rowOff>25652</xdr:rowOff>
    </xdr:from>
    <xdr:to>
      <xdr:col>6</xdr:col>
      <xdr:colOff>412518</xdr:colOff>
      <xdr:row>23</xdr:row>
      <xdr:rowOff>98920</xdr:rowOff>
    </xdr:to>
    <xdr:sp macro="" textlink="">
      <xdr:nvSpPr>
        <xdr:cNvPr id="94" name="Text Box 16"/>
        <xdr:cNvSpPr txBox="1">
          <a:spLocks noChangeArrowheads="1"/>
        </xdr:cNvSpPr>
      </xdr:nvSpPr>
      <xdr:spPr bwMode="auto">
        <a:xfrm>
          <a:off x="4509726" y="380634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659422</xdr:colOff>
      <xdr:row>17</xdr:row>
      <xdr:rowOff>144341</xdr:rowOff>
    </xdr:from>
    <xdr:to>
      <xdr:col>7</xdr:col>
      <xdr:colOff>2197</xdr:colOff>
      <xdr:row>21</xdr:row>
      <xdr:rowOff>10991</xdr:rowOff>
    </xdr:to>
    <xdr:sp macro="" textlink="">
      <xdr:nvSpPr>
        <xdr:cNvPr id="95" name="AutoShape 15"/>
        <xdr:cNvSpPr>
          <a:spLocks noChangeArrowheads="1"/>
        </xdr:cNvSpPr>
      </xdr:nvSpPr>
      <xdr:spPr bwMode="auto">
        <a:xfrm>
          <a:off x="4454768" y="3119072"/>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18</xdr:row>
      <xdr:rowOff>142887</xdr:rowOff>
    </xdr:from>
    <xdr:to>
      <xdr:col>7</xdr:col>
      <xdr:colOff>2197</xdr:colOff>
      <xdr:row>20</xdr:row>
      <xdr:rowOff>25645</xdr:rowOff>
    </xdr:to>
    <xdr:sp macro="" textlink="">
      <xdr:nvSpPr>
        <xdr:cNvPr id="96" name="Text Box 16"/>
        <xdr:cNvSpPr txBox="1">
          <a:spLocks noChangeArrowheads="1"/>
        </xdr:cNvSpPr>
      </xdr:nvSpPr>
      <xdr:spPr bwMode="auto">
        <a:xfrm>
          <a:off x="4509726" y="3278810"/>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659422</xdr:colOff>
      <xdr:row>14</xdr:row>
      <xdr:rowOff>87191</xdr:rowOff>
    </xdr:from>
    <xdr:to>
      <xdr:col>7</xdr:col>
      <xdr:colOff>2197</xdr:colOff>
      <xdr:row>17</xdr:row>
      <xdr:rowOff>115766</xdr:rowOff>
    </xdr:to>
    <xdr:sp macro="" textlink="">
      <xdr:nvSpPr>
        <xdr:cNvPr id="97" name="AutoShape 15"/>
        <xdr:cNvSpPr>
          <a:spLocks noChangeArrowheads="1"/>
        </xdr:cNvSpPr>
      </xdr:nvSpPr>
      <xdr:spPr bwMode="auto">
        <a:xfrm>
          <a:off x="4454768" y="257834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15</xdr:row>
      <xdr:rowOff>69612</xdr:rowOff>
    </xdr:from>
    <xdr:to>
      <xdr:col>6</xdr:col>
      <xdr:colOff>412518</xdr:colOff>
      <xdr:row>16</xdr:row>
      <xdr:rowOff>142881</xdr:rowOff>
    </xdr:to>
    <xdr:sp macro="" textlink="">
      <xdr:nvSpPr>
        <xdr:cNvPr id="98" name="Text Box 16"/>
        <xdr:cNvSpPr txBox="1">
          <a:spLocks noChangeArrowheads="1"/>
        </xdr:cNvSpPr>
      </xdr:nvSpPr>
      <xdr:spPr bwMode="auto">
        <a:xfrm>
          <a:off x="4509726" y="272195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659422</xdr:colOff>
      <xdr:row>10</xdr:row>
      <xdr:rowOff>153866</xdr:rowOff>
    </xdr:from>
    <xdr:to>
      <xdr:col>7</xdr:col>
      <xdr:colOff>2197</xdr:colOff>
      <xdr:row>14</xdr:row>
      <xdr:rowOff>30041</xdr:rowOff>
    </xdr:to>
    <xdr:sp macro="" textlink="">
      <xdr:nvSpPr>
        <xdr:cNvPr id="99" name="AutoShape 15"/>
        <xdr:cNvSpPr>
          <a:spLocks noChangeArrowheads="1"/>
        </xdr:cNvSpPr>
      </xdr:nvSpPr>
      <xdr:spPr bwMode="auto">
        <a:xfrm>
          <a:off x="4454768" y="2000251"/>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11</xdr:row>
      <xdr:rowOff>142889</xdr:rowOff>
    </xdr:from>
    <xdr:to>
      <xdr:col>6</xdr:col>
      <xdr:colOff>412518</xdr:colOff>
      <xdr:row>13</xdr:row>
      <xdr:rowOff>54965</xdr:rowOff>
    </xdr:to>
    <xdr:sp macro="" textlink="">
      <xdr:nvSpPr>
        <xdr:cNvPr id="100" name="Text Box 16"/>
        <xdr:cNvSpPr txBox="1">
          <a:spLocks noChangeArrowheads="1"/>
        </xdr:cNvSpPr>
      </xdr:nvSpPr>
      <xdr:spPr bwMode="auto">
        <a:xfrm>
          <a:off x="4509726" y="215046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659422</xdr:colOff>
      <xdr:row>7</xdr:row>
      <xdr:rowOff>115766</xdr:rowOff>
    </xdr:from>
    <xdr:to>
      <xdr:col>7</xdr:col>
      <xdr:colOff>2197</xdr:colOff>
      <xdr:row>10</xdr:row>
      <xdr:rowOff>144341</xdr:rowOff>
    </xdr:to>
    <xdr:sp macro="" textlink="">
      <xdr:nvSpPr>
        <xdr:cNvPr id="101" name="AutoShape 15"/>
        <xdr:cNvSpPr>
          <a:spLocks noChangeArrowheads="1"/>
        </xdr:cNvSpPr>
      </xdr:nvSpPr>
      <xdr:spPr bwMode="auto">
        <a:xfrm>
          <a:off x="4454768" y="147857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8</xdr:row>
      <xdr:rowOff>98920</xdr:rowOff>
    </xdr:from>
    <xdr:to>
      <xdr:col>6</xdr:col>
      <xdr:colOff>412518</xdr:colOff>
      <xdr:row>10</xdr:row>
      <xdr:rowOff>10996</xdr:rowOff>
    </xdr:to>
    <xdr:sp macro="" textlink="">
      <xdr:nvSpPr>
        <xdr:cNvPr id="102" name="Text Box 16"/>
        <xdr:cNvSpPr txBox="1">
          <a:spLocks noChangeArrowheads="1"/>
        </xdr:cNvSpPr>
      </xdr:nvSpPr>
      <xdr:spPr bwMode="auto">
        <a:xfrm>
          <a:off x="4509726" y="162292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659422</xdr:colOff>
      <xdr:row>4</xdr:row>
      <xdr:rowOff>58616</xdr:rowOff>
    </xdr:from>
    <xdr:to>
      <xdr:col>7</xdr:col>
      <xdr:colOff>2197</xdr:colOff>
      <xdr:row>7</xdr:row>
      <xdr:rowOff>87191</xdr:rowOff>
    </xdr:to>
    <xdr:sp macro="" textlink="">
      <xdr:nvSpPr>
        <xdr:cNvPr id="104" name="AutoShape 15"/>
        <xdr:cNvSpPr>
          <a:spLocks noChangeArrowheads="1"/>
        </xdr:cNvSpPr>
      </xdr:nvSpPr>
      <xdr:spPr bwMode="auto">
        <a:xfrm>
          <a:off x="4454768" y="937847"/>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714379</xdr:colOff>
      <xdr:row>5</xdr:row>
      <xdr:rowOff>40263</xdr:rowOff>
    </xdr:from>
    <xdr:to>
      <xdr:col>6</xdr:col>
      <xdr:colOff>500426</xdr:colOff>
      <xdr:row>6</xdr:row>
      <xdr:rowOff>113568</xdr:rowOff>
    </xdr:to>
    <xdr:sp macro="" textlink="">
      <xdr:nvSpPr>
        <xdr:cNvPr id="106" name="Text Box 16"/>
        <xdr:cNvSpPr txBox="1">
          <a:spLocks noChangeArrowheads="1"/>
        </xdr:cNvSpPr>
      </xdr:nvSpPr>
      <xdr:spPr bwMode="auto">
        <a:xfrm>
          <a:off x="4509725" y="1080686"/>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5</xdr:col>
      <xdr:colOff>659419</xdr:colOff>
      <xdr:row>45</xdr:row>
      <xdr:rowOff>127489</xdr:rowOff>
    </xdr:from>
    <xdr:to>
      <xdr:col>7</xdr:col>
      <xdr:colOff>2194</xdr:colOff>
      <xdr:row>48</xdr:row>
      <xdr:rowOff>156064</xdr:rowOff>
    </xdr:to>
    <xdr:sp macro="" textlink="">
      <xdr:nvSpPr>
        <xdr:cNvPr id="108" name="AutoShape 15"/>
        <xdr:cNvSpPr>
          <a:spLocks noChangeArrowheads="1"/>
        </xdr:cNvSpPr>
      </xdr:nvSpPr>
      <xdr:spPr bwMode="auto">
        <a:xfrm>
          <a:off x="4454765" y="7703527"/>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714377</xdr:colOff>
      <xdr:row>46</xdr:row>
      <xdr:rowOff>113574</xdr:rowOff>
    </xdr:from>
    <xdr:to>
      <xdr:col>6</xdr:col>
      <xdr:colOff>412515</xdr:colOff>
      <xdr:row>48</xdr:row>
      <xdr:rowOff>25651</xdr:rowOff>
    </xdr:to>
    <xdr:sp macro="" textlink="">
      <xdr:nvSpPr>
        <xdr:cNvPr id="110" name="Text Box 16"/>
        <xdr:cNvSpPr txBox="1">
          <a:spLocks noChangeArrowheads="1"/>
        </xdr:cNvSpPr>
      </xdr:nvSpPr>
      <xdr:spPr bwMode="auto">
        <a:xfrm>
          <a:off x="4509723" y="7850805"/>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659419</xdr:colOff>
      <xdr:row>42</xdr:row>
      <xdr:rowOff>71071</xdr:rowOff>
    </xdr:from>
    <xdr:to>
      <xdr:col>7</xdr:col>
      <xdr:colOff>2194</xdr:colOff>
      <xdr:row>45</xdr:row>
      <xdr:rowOff>98914</xdr:rowOff>
    </xdr:to>
    <xdr:sp macro="" textlink="">
      <xdr:nvSpPr>
        <xdr:cNvPr id="112" name="AutoShape 15"/>
        <xdr:cNvSpPr>
          <a:spLocks noChangeArrowheads="1"/>
        </xdr:cNvSpPr>
      </xdr:nvSpPr>
      <xdr:spPr bwMode="auto">
        <a:xfrm>
          <a:off x="4454765" y="7163533"/>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714377</xdr:colOff>
      <xdr:row>43</xdr:row>
      <xdr:rowOff>69617</xdr:rowOff>
    </xdr:from>
    <xdr:to>
      <xdr:col>7</xdr:col>
      <xdr:colOff>2194</xdr:colOff>
      <xdr:row>44</xdr:row>
      <xdr:rowOff>113568</xdr:rowOff>
    </xdr:to>
    <xdr:sp macro="" textlink="">
      <xdr:nvSpPr>
        <xdr:cNvPr id="114" name="Text Box 16"/>
        <xdr:cNvSpPr txBox="1">
          <a:spLocks noChangeArrowheads="1"/>
        </xdr:cNvSpPr>
      </xdr:nvSpPr>
      <xdr:spPr bwMode="auto">
        <a:xfrm>
          <a:off x="4509723" y="7323271"/>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659419</xdr:colOff>
      <xdr:row>39</xdr:row>
      <xdr:rowOff>43229</xdr:rowOff>
    </xdr:from>
    <xdr:to>
      <xdr:col>7</xdr:col>
      <xdr:colOff>2194</xdr:colOff>
      <xdr:row>42</xdr:row>
      <xdr:rowOff>42496</xdr:rowOff>
    </xdr:to>
    <xdr:sp macro="" textlink="">
      <xdr:nvSpPr>
        <xdr:cNvPr id="115" name="AutoShape 15"/>
        <xdr:cNvSpPr>
          <a:spLocks noChangeArrowheads="1"/>
        </xdr:cNvSpPr>
      </xdr:nvSpPr>
      <xdr:spPr bwMode="auto">
        <a:xfrm>
          <a:off x="4454765" y="6622806"/>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714377</xdr:colOff>
      <xdr:row>40</xdr:row>
      <xdr:rowOff>25650</xdr:rowOff>
    </xdr:from>
    <xdr:to>
      <xdr:col>6</xdr:col>
      <xdr:colOff>412515</xdr:colOff>
      <xdr:row>41</xdr:row>
      <xdr:rowOff>69611</xdr:rowOff>
    </xdr:to>
    <xdr:sp macro="" textlink="">
      <xdr:nvSpPr>
        <xdr:cNvPr id="116" name="Text Box 16"/>
        <xdr:cNvSpPr txBox="1">
          <a:spLocks noChangeArrowheads="1"/>
        </xdr:cNvSpPr>
      </xdr:nvSpPr>
      <xdr:spPr bwMode="auto">
        <a:xfrm>
          <a:off x="4509723" y="6766419"/>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659419</xdr:colOff>
      <xdr:row>35</xdr:row>
      <xdr:rowOff>109904</xdr:rowOff>
    </xdr:from>
    <xdr:to>
      <xdr:col>7</xdr:col>
      <xdr:colOff>2194</xdr:colOff>
      <xdr:row>38</xdr:row>
      <xdr:rowOff>147271</xdr:rowOff>
    </xdr:to>
    <xdr:sp macro="" textlink="">
      <xdr:nvSpPr>
        <xdr:cNvPr id="117" name="AutoShape 15"/>
        <xdr:cNvSpPr>
          <a:spLocks noChangeArrowheads="1"/>
        </xdr:cNvSpPr>
      </xdr:nvSpPr>
      <xdr:spPr bwMode="auto">
        <a:xfrm>
          <a:off x="4454765" y="6044712"/>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714377</xdr:colOff>
      <xdr:row>36</xdr:row>
      <xdr:rowOff>98927</xdr:rowOff>
    </xdr:from>
    <xdr:to>
      <xdr:col>6</xdr:col>
      <xdr:colOff>412515</xdr:colOff>
      <xdr:row>38</xdr:row>
      <xdr:rowOff>11003</xdr:rowOff>
    </xdr:to>
    <xdr:sp macro="" textlink="">
      <xdr:nvSpPr>
        <xdr:cNvPr id="118" name="Text Box 16"/>
        <xdr:cNvSpPr txBox="1">
          <a:spLocks noChangeArrowheads="1"/>
        </xdr:cNvSpPr>
      </xdr:nvSpPr>
      <xdr:spPr bwMode="auto">
        <a:xfrm>
          <a:off x="4509723" y="6194927"/>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659419</xdr:colOff>
      <xdr:row>32</xdr:row>
      <xdr:rowOff>101112</xdr:rowOff>
    </xdr:from>
    <xdr:to>
      <xdr:col>7</xdr:col>
      <xdr:colOff>2194</xdr:colOff>
      <xdr:row>35</xdr:row>
      <xdr:rowOff>100379</xdr:rowOff>
    </xdr:to>
    <xdr:sp macro="" textlink="">
      <xdr:nvSpPr>
        <xdr:cNvPr id="119" name="AutoShape 15"/>
        <xdr:cNvSpPr>
          <a:spLocks noChangeArrowheads="1"/>
        </xdr:cNvSpPr>
      </xdr:nvSpPr>
      <xdr:spPr bwMode="auto">
        <a:xfrm>
          <a:off x="4454765" y="552303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714377</xdr:colOff>
      <xdr:row>33</xdr:row>
      <xdr:rowOff>84266</xdr:rowOff>
    </xdr:from>
    <xdr:to>
      <xdr:col>6</xdr:col>
      <xdr:colOff>412515</xdr:colOff>
      <xdr:row>34</xdr:row>
      <xdr:rowOff>157534</xdr:rowOff>
    </xdr:to>
    <xdr:sp macro="" textlink="">
      <xdr:nvSpPr>
        <xdr:cNvPr id="120" name="Text Box 16"/>
        <xdr:cNvSpPr txBox="1">
          <a:spLocks noChangeArrowheads="1"/>
        </xdr:cNvSpPr>
      </xdr:nvSpPr>
      <xdr:spPr bwMode="auto">
        <a:xfrm>
          <a:off x="4509723" y="5667381"/>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659419</xdr:colOff>
      <xdr:row>29</xdr:row>
      <xdr:rowOff>73270</xdr:rowOff>
    </xdr:from>
    <xdr:to>
      <xdr:col>7</xdr:col>
      <xdr:colOff>2194</xdr:colOff>
      <xdr:row>32</xdr:row>
      <xdr:rowOff>72537</xdr:rowOff>
    </xdr:to>
    <xdr:sp macro="" textlink="">
      <xdr:nvSpPr>
        <xdr:cNvPr id="121" name="AutoShape 15"/>
        <xdr:cNvSpPr>
          <a:spLocks noChangeArrowheads="1"/>
        </xdr:cNvSpPr>
      </xdr:nvSpPr>
      <xdr:spPr bwMode="auto">
        <a:xfrm>
          <a:off x="4454765" y="4982308"/>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714376</xdr:colOff>
      <xdr:row>30</xdr:row>
      <xdr:rowOff>54916</xdr:rowOff>
    </xdr:from>
    <xdr:to>
      <xdr:col>6</xdr:col>
      <xdr:colOff>500423</xdr:colOff>
      <xdr:row>31</xdr:row>
      <xdr:rowOff>128221</xdr:rowOff>
    </xdr:to>
    <xdr:sp macro="" textlink="">
      <xdr:nvSpPr>
        <xdr:cNvPr id="134" name="Text Box 16"/>
        <xdr:cNvSpPr txBox="1">
          <a:spLocks noChangeArrowheads="1"/>
        </xdr:cNvSpPr>
      </xdr:nvSpPr>
      <xdr:spPr bwMode="auto">
        <a:xfrm>
          <a:off x="4509722" y="5125147"/>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5</xdr:col>
      <xdr:colOff>674074</xdr:colOff>
      <xdr:row>71</xdr:row>
      <xdr:rowOff>39566</xdr:rowOff>
    </xdr:from>
    <xdr:to>
      <xdr:col>7</xdr:col>
      <xdr:colOff>16849</xdr:colOff>
      <xdr:row>74</xdr:row>
      <xdr:rowOff>68141</xdr:rowOff>
    </xdr:to>
    <xdr:sp macro="" textlink="">
      <xdr:nvSpPr>
        <xdr:cNvPr id="135" name="AutoShape 15"/>
        <xdr:cNvSpPr>
          <a:spLocks noChangeArrowheads="1"/>
        </xdr:cNvSpPr>
      </xdr:nvSpPr>
      <xdr:spPr bwMode="auto">
        <a:xfrm>
          <a:off x="4469420" y="1180660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729032</xdr:colOff>
      <xdr:row>72</xdr:row>
      <xdr:rowOff>25651</xdr:rowOff>
    </xdr:from>
    <xdr:to>
      <xdr:col>6</xdr:col>
      <xdr:colOff>427170</xdr:colOff>
      <xdr:row>73</xdr:row>
      <xdr:rowOff>98920</xdr:rowOff>
    </xdr:to>
    <xdr:sp macro="" textlink="">
      <xdr:nvSpPr>
        <xdr:cNvPr id="136" name="Text Box 16"/>
        <xdr:cNvSpPr txBox="1">
          <a:spLocks noChangeArrowheads="1"/>
        </xdr:cNvSpPr>
      </xdr:nvSpPr>
      <xdr:spPr bwMode="auto">
        <a:xfrm>
          <a:off x="4524378" y="11953882"/>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674074</xdr:colOff>
      <xdr:row>67</xdr:row>
      <xdr:rowOff>144341</xdr:rowOff>
    </xdr:from>
    <xdr:to>
      <xdr:col>7</xdr:col>
      <xdr:colOff>16849</xdr:colOff>
      <xdr:row>71</xdr:row>
      <xdr:rowOff>10991</xdr:rowOff>
    </xdr:to>
    <xdr:sp macro="" textlink="">
      <xdr:nvSpPr>
        <xdr:cNvPr id="137" name="AutoShape 15"/>
        <xdr:cNvSpPr>
          <a:spLocks noChangeArrowheads="1"/>
        </xdr:cNvSpPr>
      </xdr:nvSpPr>
      <xdr:spPr bwMode="auto">
        <a:xfrm>
          <a:off x="4469420" y="11266610"/>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729032</xdr:colOff>
      <xdr:row>68</xdr:row>
      <xdr:rowOff>142886</xdr:rowOff>
    </xdr:from>
    <xdr:to>
      <xdr:col>7</xdr:col>
      <xdr:colOff>16849</xdr:colOff>
      <xdr:row>70</xdr:row>
      <xdr:rowOff>25645</xdr:rowOff>
    </xdr:to>
    <xdr:sp macro="" textlink="">
      <xdr:nvSpPr>
        <xdr:cNvPr id="138" name="Text Box 16"/>
        <xdr:cNvSpPr txBox="1">
          <a:spLocks noChangeArrowheads="1"/>
        </xdr:cNvSpPr>
      </xdr:nvSpPr>
      <xdr:spPr bwMode="auto">
        <a:xfrm>
          <a:off x="4524378" y="11426348"/>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674074</xdr:colOff>
      <xdr:row>64</xdr:row>
      <xdr:rowOff>87191</xdr:rowOff>
    </xdr:from>
    <xdr:to>
      <xdr:col>7</xdr:col>
      <xdr:colOff>16849</xdr:colOff>
      <xdr:row>67</xdr:row>
      <xdr:rowOff>115766</xdr:rowOff>
    </xdr:to>
    <xdr:sp macro="" textlink="">
      <xdr:nvSpPr>
        <xdr:cNvPr id="139" name="AutoShape 15"/>
        <xdr:cNvSpPr>
          <a:spLocks noChangeArrowheads="1"/>
        </xdr:cNvSpPr>
      </xdr:nvSpPr>
      <xdr:spPr bwMode="auto">
        <a:xfrm>
          <a:off x="4469420" y="10725883"/>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729032</xdr:colOff>
      <xdr:row>65</xdr:row>
      <xdr:rowOff>69611</xdr:rowOff>
    </xdr:from>
    <xdr:to>
      <xdr:col>6</xdr:col>
      <xdr:colOff>427170</xdr:colOff>
      <xdr:row>66</xdr:row>
      <xdr:rowOff>142880</xdr:rowOff>
    </xdr:to>
    <xdr:sp macro="" textlink="">
      <xdr:nvSpPr>
        <xdr:cNvPr id="140" name="Text Box 16"/>
        <xdr:cNvSpPr txBox="1">
          <a:spLocks noChangeArrowheads="1"/>
        </xdr:cNvSpPr>
      </xdr:nvSpPr>
      <xdr:spPr bwMode="auto">
        <a:xfrm>
          <a:off x="4524378" y="1086949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674074</xdr:colOff>
      <xdr:row>60</xdr:row>
      <xdr:rowOff>153866</xdr:rowOff>
    </xdr:from>
    <xdr:to>
      <xdr:col>7</xdr:col>
      <xdr:colOff>16849</xdr:colOff>
      <xdr:row>64</xdr:row>
      <xdr:rowOff>30041</xdr:rowOff>
    </xdr:to>
    <xdr:sp macro="" textlink="">
      <xdr:nvSpPr>
        <xdr:cNvPr id="141" name="AutoShape 15"/>
        <xdr:cNvSpPr>
          <a:spLocks noChangeArrowheads="1"/>
        </xdr:cNvSpPr>
      </xdr:nvSpPr>
      <xdr:spPr bwMode="auto">
        <a:xfrm>
          <a:off x="4469420" y="10147789"/>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729032</xdr:colOff>
      <xdr:row>61</xdr:row>
      <xdr:rowOff>142889</xdr:rowOff>
    </xdr:from>
    <xdr:to>
      <xdr:col>6</xdr:col>
      <xdr:colOff>427170</xdr:colOff>
      <xdr:row>63</xdr:row>
      <xdr:rowOff>54965</xdr:rowOff>
    </xdr:to>
    <xdr:sp macro="" textlink="">
      <xdr:nvSpPr>
        <xdr:cNvPr id="142" name="Text Box 16"/>
        <xdr:cNvSpPr txBox="1">
          <a:spLocks noChangeArrowheads="1"/>
        </xdr:cNvSpPr>
      </xdr:nvSpPr>
      <xdr:spPr bwMode="auto">
        <a:xfrm>
          <a:off x="4524378" y="1029800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674074</xdr:colOff>
      <xdr:row>57</xdr:row>
      <xdr:rowOff>115766</xdr:rowOff>
    </xdr:from>
    <xdr:to>
      <xdr:col>7</xdr:col>
      <xdr:colOff>16849</xdr:colOff>
      <xdr:row>60</xdr:row>
      <xdr:rowOff>144341</xdr:rowOff>
    </xdr:to>
    <xdr:sp macro="" textlink="">
      <xdr:nvSpPr>
        <xdr:cNvPr id="143" name="AutoShape 15"/>
        <xdr:cNvSpPr>
          <a:spLocks noChangeArrowheads="1"/>
        </xdr:cNvSpPr>
      </xdr:nvSpPr>
      <xdr:spPr bwMode="auto">
        <a:xfrm>
          <a:off x="4469420" y="962611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729032</xdr:colOff>
      <xdr:row>58</xdr:row>
      <xdr:rowOff>98920</xdr:rowOff>
    </xdr:from>
    <xdr:to>
      <xdr:col>6</xdr:col>
      <xdr:colOff>427170</xdr:colOff>
      <xdr:row>60</xdr:row>
      <xdr:rowOff>10996</xdr:rowOff>
    </xdr:to>
    <xdr:sp macro="" textlink="">
      <xdr:nvSpPr>
        <xdr:cNvPr id="144" name="Text Box 16"/>
        <xdr:cNvSpPr txBox="1">
          <a:spLocks noChangeArrowheads="1"/>
        </xdr:cNvSpPr>
      </xdr:nvSpPr>
      <xdr:spPr bwMode="auto">
        <a:xfrm>
          <a:off x="4524378" y="977045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674074</xdr:colOff>
      <xdr:row>54</xdr:row>
      <xdr:rowOff>58616</xdr:rowOff>
    </xdr:from>
    <xdr:to>
      <xdr:col>7</xdr:col>
      <xdr:colOff>16849</xdr:colOff>
      <xdr:row>57</xdr:row>
      <xdr:rowOff>87191</xdr:rowOff>
    </xdr:to>
    <xdr:sp macro="" textlink="">
      <xdr:nvSpPr>
        <xdr:cNvPr id="145" name="AutoShape 15"/>
        <xdr:cNvSpPr>
          <a:spLocks noChangeArrowheads="1"/>
        </xdr:cNvSpPr>
      </xdr:nvSpPr>
      <xdr:spPr bwMode="auto">
        <a:xfrm>
          <a:off x="4469420" y="908538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55</xdr:row>
      <xdr:rowOff>40262</xdr:rowOff>
    </xdr:from>
    <xdr:to>
      <xdr:col>6</xdr:col>
      <xdr:colOff>515078</xdr:colOff>
      <xdr:row>56</xdr:row>
      <xdr:rowOff>113567</xdr:rowOff>
    </xdr:to>
    <xdr:sp macro="" textlink="">
      <xdr:nvSpPr>
        <xdr:cNvPr id="146" name="Text Box 16"/>
        <xdr:cNvSpPr txBox="1">
          <a:spLocks noChangeArrowheads="1"/>
        </xdr:cNvSpPr>
      </xdr:nvSpPr>
      <xdr:spPr bwMode="auto">
        <a:xfrm>
          <a:off x="4524377" y="9228224"/>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219810</xdr:colOff>
      <xdr:row>71</xdr:row>
      <xdr:rowOff>10258</xdr:rowOff>
    </xdr:from>
    <xdr:to>
      <xdr:col>22</xdr:col>
      <xdr:colOff>16855</xdr:colOff>
      <xdr:row>74</xdr:row>
      <xdr:rowOff>38833</xdr:rowOff>
    </xdr:to>
    <xdr:sp macro="" textlink="">
      <xdr:nvSpPr>
        <xdr:cNvPr id="147" name="AutoShape 15"/>
        <xdr:cNvSpPr>
          <a:spLocks noChangeArrowheads="1"/>
        </xdr:cNvSpPr>
      </xdr:nvSpPr>
      <xdr:spPr bwMode="auto">
        <a:xfrm>
          <a:off x="14741772" y="11777296"/>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71</xdr:row>
      <xdr:rowOff>157536</xdr:rowOff>
    </xdr:from>
    <xdr:to>
      <xdr:col>21</xdr:col>
      <xdr:colOff>529753</xdr:colOff>
      <xdr:row>73</xdr:row>
      <xdr:rowOff>69612</xdr:rowOff>
    </xdr:to>
    <xdr:sp macro="" textlink="">
      <xdr:nvSpPr>
        <xdr:cNvPr id="148" name="Text Box 16"/>
        <xdr:cNvSpPr txBox="1">
          <a:spLocks noChangeArrowheads="1"/>
        </xdr:cNvSpPr>
      </xdr:nvSpPr>
      <xdr:spPr bwMode="auto">
        <a:xfrm>
          <a:off x="14796730" y="1192457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219810</xdr:colOff>
      <xdr:row>67</xdr:row>
      <xdr:rowOff>115033</xdr:rowOff>
    </xdr:from>
    <xdr:to>
      <xdr:col>22</xdr:col>
      <xdr:colOff>16855</xdr:colOff>
      <xdr:row>70</xdr:row>
      <xdr:rowOff>142875</xdr:rowOff>
    </xdr:to>
    <xdr:sp macro="" textlink="">
      <xdr:nvSpPr>
        <xdr:cNvPr id="149" name="AutoShape 15"/>
        <xdr:cNvSpPr>
          <a:spLocks noChangeArrowheads="1"/>
        </xdr:cNvSpPr>
      </xdr:nvSpPr>
      <xdr:spPr bwMode="auto">
        <a:xfrm>
          <a:off x="14741772" y="11237302"/>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68</xdr:row>
      <xdr:rowOff>113578</xdr:rowOff>
    </xdr:from>
    <xdr:to>
      <xdr:col>22</xdr:col>
      <xdr:colOff>16855</xdr:colOff>
      <xdr:row>69</xdr:row>
      <xdr:rowOff>157529</xdr:rowOff>
    </xdr:to>
    <xdr:sp macro="" textlink="">
      <xdr:nvSpPr>
        <xdr:cNvPr id="150" name="Text Box 16"/>
        <xdr:cNvSpPr txBox="1">
          <a:spLocks noChangeArrowheads="1"/>
        </xdr:cNvSpPr>
      </xdr:nvSpPr>
      <xdr:spPr bwMode="auto">
        <a:xfrm>
          <a:off x="14796730" y="11397040"/>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219810</xdr:colOff>
      <xdr:row>64</xdr:row>
      <xdr:rowOff>57883</xdr:rowOff>
    </xdr:from>
    <xdr:to>
      <xdr:col>22</xdr:col>
      <xdr:colOff>16855</xdr:colOff>
      <xdr:row>67</xdr:row>
      <xdr:rowOff>86458</xdr:rowOff>
    </xdr:to>
    <xdr:sp macro="" textlink="">
      <xdr:nvSpPr>
        <xdr:cNvPr id="151" name="AutoShape 15"/>
        <xdr:cNvSpPr>
          <a:spLocks noChangeArrowheads="1"/>
        </xdr:cNvSpPr>
      </xdr:nvSpPr>
      <xdr:spPr bwMode="auto">
        <a:xfrm>
          <a:off x="14741772" y="1069657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65</xdr:row>
      <xdr:rowOff>40303</xdr:rowOff>
    </xdr:from>
    <xdr:to>
      <xdr:col>21</xdr:col>
      <xdr:colOff>529753</xdr:colOff>
      <xdr:row>66</xdr:row>
      <xdr:rowOff>113572</xdr:rowOff>
    </xdr:to>
    <xdr:sp macro="" textlink="">
      <xdr:nvSpPr>
        <xdr:cNvPr id="152" name="Text Box 16"/>
        <xdr:cNvSpPr txBox="1">
          <a:spLocks noChangeArrowheads="1"/>
        </xdr:cNvSpPr>
      </xdr:nvSpPr>
      <xdr:spPr bwMode="auto">
        <a:xfrm>
          <a:off x="14796730" y="1084018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219810</xdr:colOff>
      <xdr:row>60</xdr:row>
      <xdr:rowOff>124558</xdr:rowOff>
    </xdr:from>
    <xdr:to>
      <xdr:col>22</xdr:col>
      <xdr:colOff>16855</xdr:colOff>
      <xdr:row>64</xdr:row>
      <xdr:rowOff>733</xdr:rowOff>
    </xdr:to>
    <xdr:sp macro="" textlink="">
      <xdr:nvSpPr>
        <xdr:cNvPr id="153" name="AutoShape 15"/>
        <xdr:cNvSpPr>
          <a:spLocks noChangeArrowheads="1"/>
        </xdr:cNvSpPr>
      </xdr:nvSpPr>
      <xdr:spPr bwMode="auto">
        <a:xfrm>
          <a:off x="14741772" y="10118481"/>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61</xdr:row>
      <xdr:rowOff>113581</xdr:rowOff>
    </xdr:from>
    <xdr:to>
      <xdr:col>21</xdr:col>
      <xdr:colOff>529753</xdr:colOff>
      <xdr:row>63</xdr:row>
      <xdr:rowOff>25657</xdr:rowOff>
    </xdr:to>
    <xdr:sp macro="" textlink="">
      <xdr:nvSpPr>
        <xdr:cNvPr id="154" name="Text Box 16"/>
        <xdr:cNvSpPr txBox="1">
          <a:spLocks noChangeArrowheads="1"/>
        </xdr:cNvSpPr>
      </xdr:nvSpPr>
      <xdr:spPr bwMode="auto">
        <a:xfrm>
          <a:off x="14796730" y="1026869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219810</xdr:colOff>
      <xdr:row>57</xdr:row>
      <xdr:rowOff>86458</xdr:rowOff>
    </xdr:from>
    <xdr:to>
      <xdr:col>22</xdr:col>
      <xdr:colOff>16855</xdr:colOff>
      <xdr:row>60</xdr:row>
      <xdr:rowOff>115033</xdr:rowOff>
    </xdr:to>
    <xdr:sp macro="" textlink="">
      <xdr:nvSpPr>
        <xdr:cNvPr id="155" name="AutoShape 15"/>
        <xdr:cNvSpPr>
          <a:spLocks noChangeArrowheads="1"/>
        </xdr:cNvSpPr>
      </xdr:nvSpPr>
      <xdr:spPr bwMode="auto">
        <a:xfrm>
          <a:off x="14741772" y="959680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58</xdr:row>
      <xdr:rowOff>69612</xdr:rowOff>
    </xdr:from>
    <xdr:to>
      <xdr:col>21</xdr:col>
      <xdr:colOff>529753</xdr:colOff>
      <xdr:row>59</xdr:row>
      <xdr:rowOff>142880</xdr:rowOff>
    </xdr:to>
    <xdr:sp macro="" textlink="">
      <xdr:nvSpPr>
        <xdr:cNvPr id="156" name="Text Box 16"/>
        <xdr:cNvSpPr txBox="1">
          <a:spLocks noChangeArrowheads="1"/>
        </xdr:cNvSpPr>
      </xdr:nvSpPr>
      <xdr:spPr bwMode="auto">
        <a:xfrm>
          <a:off x="14796730" y="974115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219810</xdr:colOff>
      <xdr:row>54</xdr:row>
      <xdr:rowOff>29308</xdr:rowOff>
    </xdr:from>
    <xdr:to>
      <xdr:col>22</xdr:col>
      <xdr:colOff>16855</xdr:colOff>
      <xdr:row>57</xdr:row>
      <xdr:rowOff>57883</xdr:rowOff>
    </xdr:to>
    <xdr:sp macro="" textlink="">
      <xdr:nvSpPr>
        <xdr:cNvPr id="157" name="AutoShape 15"/>
        <xdr:cNvSpPr>
          <a:spLocks noChangeArrowheads="1"/>
        </xdr:cNvSpPr>
      </xdr:nvSpPr>
      <xdr:spPr bwMode="auto">
        <a:xfrm>
          <a:off x="14741772" y="9056077"/>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274767</xdr:colOff>
      <xdr:row>55</xdr:row>
      <xdr:rowOff>10954</xdr:rowOff>
    </xdr:from>
    <xdr:to>
      <xdr:col>21</xdr:col>
      <xdr:colOff>617661</xdr:colOff>
      <xdr:row>56</xdr:row>
      <xdr:rowOff>84259</xdr:rowOff>
    </xdr:to>
    <xdr:sp macro="" textlink="">
      <xdr:nvSpPr>
        <xdr:cNvPr id="158" name="Text Box 16"/>
        <xdr:cNvSpPr txBox="1">
          <a:spLocks noChangeArrowheads="1"/>
        </xdr:cNvSpPr>
      </xdr:nvSpPr>
      <xdr:spPr bwMode="auto">
        <a:xfrm>
          <a:off x="14796729" y="9198916"/>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205155</xdr:colOff>
      <xdr:row>45</xdr:row>
      <xdr:rowOff>142143</xdr:rowOff>
    </xdr:from>
    <xdr:to>
      <xdr:col>22</xdr:col>
      <xdr:colOff>2200</xdr:colOff>
      <xdr:row>49</xdr:row>
      <xdr:rowOff>9525</xdr:rowOff>
    </xdr:to>
    <xdr:sp macro="" textlink="">
      <xdr:nvSpPr>
        <xdr:cNvPr id="159" name="AutoShape 15"/>
        <xdr:cNvSpPr>
          <a:spLocks noChangeArrowheads="1"/>
        </xdr:cNvSpPr>
      </xdr:nvSpPr>
      <xdr:spPr bwMode="auto">
        <a:xfrm>
          <a:off x="14727117" y="7718181"/>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46</xdr:row>
      <xdr:rowOff>128228</xdr:rowOff>
    </xdr:from>
    <xdr:to>
      <xdr:col>21</xdr:col>
      <xdr:colOff>515098</xdr:colOff>
      <xdr:row>48</xdr:row>
      <xdr:rowOff>40305</xdr:rowOff>
    </xdr:to>
    <xdr:sp macro="" textlink="">
      <xdr:nvSpPr>
        <xdr:cNvPr id="160" name="Text Box 16"/>
        <xdr:cNvSpPr txBox="1">
          <a:spLocks noChangeArrowheads="1"/>
        </xdr:cNvSpPr>
      </xdr:nvSpPr>
      <xdr:spPr bwMode="auto">
        <a:xfrm>
          <a:off x="14782075" y="7865459"/>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205155</xdr:colOff>
      <xdr:row>42</xdr:row>
      <xdr:rowOff>85725</xdr:rowOff>
    </xdr:from>
    <xdr:to>
      <xdr:col>22</xdr:col>
      <xdr:colOff>2200</xdr:colOff>
      <xdr:row>45</xdr:row>
      <xdr:rowOff>113568</xdr:rowOff>
    </xdr:to>
    <xdr:sp macro="" textlink="">
      <xdr:nvSpPr>
        <xdr:cNvPr id="161" name="AutoShape 15"/>
        <xdr:cNvSpPr>
          <a:spLocks noChangeArrowheads="1"/>
        </xdr:cNvSpPr>
      </xdr:nvSpPr>
      <xdr:spPr bwMode="auto">
        <a:xfrm>
          <a:off x="14727117" y="7178187"/>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43</xdr:row>
      <xdr:rowOff>84271</xdr:rowOff>
    </xdr:from>
    <xdr:to>
      <xdr:col>22</xdr:col>
      <xdr:colOff>2200</xdr:colOff>
      <xdr:row>44</xdr:row>
      <xdr:rowOff>128222</xdr:rowOff>
    </xdr:to>
    <xdr:sp macro="" textlink="">
      <xdr:nvSpPr>
        <xdr:cNvPr id="162" name="Text Box 16"/>
        <xdr:cNvSpPr txBox="1">
          <a:spLocks noChangeArrowheads="1"/>
        </xdr:cNvSpPr>
      </xdr:nvSpPr>
      <xdr:spPr bwMode="auto">
        <a:xfrm>
          <a:off x="14782075" y="7337925"/>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205155</xdr:colOff>
      <xdr:row>39</xdr:row>
      <xdr:rowOff>57883</xdr:rowOff>
    </xdr:from>
    <xdr:to>
      <xdr:col>22</xdr:col>
      <xdr:colOff>2200</xdr:colOff>
      <xdr:row>42</xdr:row>
      <xdr:rowOff>57150</xdr:rowOff>
    </xdr:to>
    <xdr:sp macro="" textlink="">
      <xdr:nvSpPr>
        <xdr:cNvPr id="163" name="AutoShape 15"/>
        <xdr:cNvSpPr>
          <a:spLocks noChangeArrowheads="1"/>
        </xdr:cNvSpPr>
      </xdr:nvSpPr>
      <xdr:spPr bwMode="auto">
        <a:xfrm>
          <a:off x="14727117" y="6637460"/>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40</xdr:row>
      <xdr:rowOff>40304</xdr:rowOff>
    </xdr:from>
    <xdr:to>
      <xdr:col>21</xdr:col>
      <xdr:colOff>515098</xdr:colOff>
      <xdr:row>41</xdr:row>
      <xdr:rowOff>84265</xdr:rowOff>
    </xdr:to>
    <xdr:sp macro="" textlink="">
      <xdr:nvSpPr>
        <xdr:cNvPr id="164" name="Text Box 16"/>
        <xdr:cNvSpPr txBox="1">
          <a:spLocks noChangeArrowheads="1"/>
        </xdr:cNvSpPr>
      </xdr:nvSpPr>
      <xdr:spPr bwMode="auto">
        <a:xfrm>
          <a:off x="14782075" y="6781073"/>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205155</xdr:colOff>
      <xdr:row>35</xdr:row>
      <xdr:rowOff>124558</xdr:rowOff>
    </xdr:from>
    <xdr:to>
      <xdr:col>22</xdr:col>
      <xdr:colOff>2200</xdr:colOff>
      <xdr:row>39</xdr:row>
      <xdr:rowOff>733</xdr:rowOff>
    </xdr:to>
    <xdr:sp macro="" textlink="">
      <xdr:nvSpPr>
        <xdr:cNvPr id="165" name="AutoShape 15"/>
        <xdr:cNvSpPr>
          <a:spLocks noChangeArrowheads="1"/>
        </xdr:cNvSpPr>
      </xdr:nvSpPr>
      <xdr:spPr bwMode="auto">
        <a:xfrm>
          <a:off x="14727117" y="6059366"/>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36</xdr:row>
      <xdr:rowOff>113581</xdr:rowOff>
    </xdr:from>
    <xdr:to>
      <xdr:col>21</xdr:col>
      <xdr:colOff>515098</xdr:colOff>
      <xdr:row>38</xdr:row>
      <xdr:rowOff>25657</xdr:rowOff>
    </xdr:to>
    <xdr:sp macro="" textlink="">
      <xdr:nvSpPr>
        <xdr:cNvPr id="166" name="Text Box 16"/>
        <xdr:cNvSpPr txBox="1">
          <a:spLocks noChangeArrowheads="1"/>
        </xdr:cNvSpPr>
      </xdr:nvSpPr>
      <xdr:spPr bwMode="auto">
        <a:xfrm>
          <a:off x="14782075" y="6209581"/>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205155</xdr:colOff>
      <xdr:row>32</xdr:row>
      <xdr:rowOff>115766</xdr:rowOff>
    </xdr:from>
    <xdr:to>
      <xdr:col>22</xdr:col>
      <xdr:colOff>2200</xdr:colOff>
      <xdr:row>35</xdr:row>
      <xdr:rowOff>115033</xdr:rowOff>
    </xdr:to>
    <xdr:sp macro="" textlink="">
      <xdr:nvSpPr>
        <xdr:cNvPr id="167" name="AutoShape 15"/>
        <xdr:cNvSpPr>
          <a:spLocks noChangeArrowheads="1"/>
        </xdr:cNvSpPr>
      </xdr:nvSpPr>
      <xdr:spPr bwMode="auto">
        <a:xfrm>
          <a:off x="14727117" y="5537689"/>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33</xdr:row>
      <xdr:rowOff>98920</xdr:rowOff>
    </xdr:from>
    <xdr:to>
      <xdr:col>21</xdr:col>
      <xdr:colOff>515098</xdr:colOff>
      <xdr:row>34</xdr:row>
      <xdr:rowOff>172188</xdr:rowOff>
    </xdr:to>
    <xdr:sp macro="" textlink="">
      <xdr:nvSpPr>
        <xdr:cNvPr id="168" name="Text Box 16"/>
        <xdr:cNvSpPr txBox="1">
          <a:spLocks noChangeArrowheads="1"/>
        </xdr:cNvSpPr>
      </xdr:nvSpPr>
      <xdr:spPr bwMode="auto">
        <a:xfrm>
          <a:off x="14782075" y="5682035"/>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205155</xdr:colOff>
      <xdr:row>29</xdr:row>
      <xdr:rowOff>87924</xdr:rowOff>
    </xdr:from>
    <xdr:to>
      <xdr:col>22</xdr:col>
      <xdr:colOff>2200</xdr:colOff>
      <xdr:row>32</xdr:row>
      <xdr:rowOff>87191</xdr:rowOff>
    </xdr:to>
    <xdr:sp macro="" textlink="">
      <xdr:nvSpPr>
        <xdr:cNvPr id="169" name="AutoShape 15"/>
        <xdr:cNvSpPr>
          <a:spLocks noChangeArrowheads="1"/>
        </xdr:cNvSpPr>
      </xdr:nvSpPr>
      <xdr:spPr bwMode="auto">
        <a:xfrm>
          <a:off x="14727117" y="499696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260112</xdr:colOff>
      <xdr:row>30</xdr:row>
      <xdr:rowOff>69570</xdr:rowOff>
    </xdr:from>
    <xdr:to>
      <xdr:col>21</xdr:col>
      <xdr:colOff>603006</xdr:colOff>
      <xdr:row>31</xdr:row>
      <xdr:rowOff>142875</xdr:rowOff>
    </xdr:to>
    <xdr:sp macro="" textlink="">
      <xdr:nvSpPr>
        <xdr:cNvPr id="170" name="Text Box 16"/>
        <xdr:cNvSpPr txBox="1">
          <a:spLocks noChangeArrowheads="1"/>
        </xdr:cNvSpPr>
      </xdr:nvSpPr>
      <xdr:spPr bwMode="auto">
        <a:xfrm>
          <a:off x="14782074" y="5139801"/>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219810</xdr:colOff>
      <xdr:row>21</xdr:row>
      <xdr:rowOff>24912</xdr:rowOff>
    </xdr:from>
    <xdr:to>
      <xdr:col>22</xdr:col>
      <xdr:colOff>16855</xdr:colOff>
      <xdr:row>24</xdr:row>
      <xdr:rowOff>53487</xdr:rowOff>
    </xdr:to>
    <xdr:sp macro="" textlink="">
      <xdr:nvSpPr>
        <xdr:cNvPr id="171" name="AutoShape 15"/>
        <xdr:cNvSpPr>
          <a:spLocks noChangeArrowheads="1"/>
        </xdr:cNvSpPr>
      </xdr:nvSpPr>
      <xdr:spPr bwMode="auto">
        <a:xfrm>
          <a:off x="14741772" y="364441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22</xdr:row>
      <xdr:rowOff>10998</xdr:rowOff>
    </xdr:from>
    <xdr:to>
      <xdr:col>21</xdr:col>
      <xdr:colOff>529753</xdr:colOff>
      <xdr:row>23</xdr:row>
      <xdr:rowOff>84266</xdr:rowOff>
    </xdr:to>
    <xdr:sp macro="" textlink="">
      <xdr:nvSpPr>
        <xdr:cNvPr id="172" name="Text Box 16"/>
        <xdr:cNvSpPr txBox="1">
          <a:spLocks noChangeArrowheads="1"/>
        </xdr:cNvSpPr>
      </xdr:nvSpPr>
      <xdr:spPr bwMode="auto">
        <a:xfrm>
          <a:off x="14796730" y="379169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219810</xdr:colOff>
      <xdr:row>17</xdr:row>
      <xdr:rowOff>129687</xdr:rowOff>
    </xdr:from>
    <xdr:to>
      <xdr:col>22</xdr:col>
      <xdr:colOff>16855</xdr:colOff>
      <xdr:row>20</xdr:row>
      <xdr:rowOff>157529</xdr:rowOff>
    </xdr:to>
    <xdr:sp macro="" textlink="">
      <xdr:nvSpPr>
        <xdr:cNvPr id="173" name="AutoShape 15"/>
        <xdr:cNvSpPr>
          <a:spLocks noChangeArrowheads="1"/>
        </xdr:cNvSpPr>
      </xdr:nvSpPr>
      <xdr:spPr bwMode="auto">
        <a:xfrm>
          <a:off x="14741772" y="3104418"/>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18</xdr:row>
      <xdr:rowOff>128233</xdr:rowOff>
    </xdr:from>
    <xdr:to>
      <xdr:col>22</xdr:col>
      <xdr:colOff>16855</xdr:colOff>
      <xdr:row>20</xdr:row>
      <xdr:rowOff>10991</xdr:rowOff>
    </xdr:to>
    <xdr:sp macro="" textlink="">
      <xdr:nvSpPr>
        <xdr:cNvPr id="174" name="Text Box 16"/>
        <xdr:cNvSpPr txBox="1">
          <a:spLocks noChangeArrowheads="1"/>
        </xdr:cNvSpPr>
      </xdr:nvSpPr>
      <xdr:spPr bwMode="auto">
        <a:xfrm>
          <a:off x="14796730" y="3264156"/>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219810</xdr:colOff>
      <xdr:row>14</xdr:row>
      <xdr:rowOff>72537</xdr:rowOff>
    </xdr:from>
    <xdr:to>
      <xdr:col>22</xdr:col>
      <xdr:colOff>16855</xdr:colOff>
      <xdr:row>17</xdr:row>
      <xdr:rowOff>101112</xdr:rowOff>
    </xdr:to>
    <xdr:sp macro="" textlink="">
      <xdr:nvSpPr>
        <xdr:cNvPr id="175" name="AutoShape 15"/>
        <xdr:cNvSpPr>
          <a:spLocks noChangeArrowheads="1"/>
        </xdr:cNvSpPr>
      </xdr:nvSpPr>
      <xdr:spPr bwMode="auto">
        <a:xfrm>
          <a:off x="14741772" y="2563691"/>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15</xdr:row>
      <xdr:rowOff>54958</xdr:rowOff>
    </xdr:from>
    <xdr:to>
      <xdr:col>21</xdr:col>
      <xdr:colOff>529753</xdr:colOff>
      <xdr:row>16</xdr:row>
      <xdr:rowOff>128227</xdr:rowOff>
    </xdr:to>
    <xdr:sp macro="" textlink="">
      <xdr:nvSpPr>
        <xdr:cNvPr id="176" name="Text Box 16"/>
        <xdr:cNvSpPr txBox="1">
          <a:spLocks noChangeArrowheads="1"/>
        </xdr:cNvSpPr>
      </xdr:nvSpPr>
      <xdr:spPr bwMode="auto">
        <a:xfrm>
          <a:off x="14796730" y="270730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219810</xdr:colOff>
      <xdr:row>10</xdr:row>
      <xdr:rowOff>139212</xdr:rowOff>
    </xdr:from>
    <xdr:to>
      <xdr:col>22</xdr:col>
      <xdr:colOff>16855</xdr:colOff>
      <xdr:row>14</xdr:row>
      <xdr:rowOff>15387</xdr:rowOff>
    </xdr:to>
    <xdr:sp macro="" textlink="">
      <xdr:nvSpPr>
        <xdr:cNvPr id="177" name="AutoShape 15"/>
        <xdr:cNvSpPr>
          <a:spLocks noChangeArrowheads="1"/>
        </xdr:cNvSpPr>
      </xdr:nvSpPr>
      <xdr:spPr bwMode="auto">
        <a:xfrm>
          <a:off x="14741772" y="1985597"/>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11</xdr:row>
      <xdr:rowOff>128235</xdr:rowOff>
    </xdr:from>
    <xdr:to>
      <xdr:col>21</xdr:col>
      <xdr:colOff>529753</xdr:colOff>
      <xdr:row>13</xdr:row>
      <xdr:rowOff>40311</xdr:rowOff>
    </xdr:to>
    <xdr:sp macro="" textlink="">
      <xdr:nvSpPr>
        <xdr:cNvPr id="178" name="Text Box 16"/>
        <xdr:cNvSpPr txBox="1">
          <a:spLocks noChangeArrowheads="1"/>
        </xdr:cNvSpPr>
      </xdr:nvSpPr>
      <xdr:spPr bwMode="auto">
        <a:xfrm>
          <a:off x="14796730" y="2135812"/>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219810</xdr:colOff>
      <xdr:row>7</xdr:row>
      <xdr:rowOff>101112</xdr:rowOff>
    </xdr:from>
    <xdr:to>
      <xdr:col>22</xdr:col>
      <xdr:colOff>16855</xdr:colOff>
      <xdr:row>10</xdr:row>
      <xdr:rowOff>129687</xdr:rowOff>
    </xdr:to>
    <xdr:sp macro="" textlink="">
      <xdr:nvSpPr>
        <xdr:cNvPr id="179" name="AutoShape 15"/>
        <xdr:cNvSpPr>
          <a:spLocks noChangeArrowheads="1"/>
        </xdr:cNvSpPr>
      </xdr:nvSpPr>
      <xdr:spPr bwMode="auto">
        <a:xfrm>
          <a:off x="14741772" y="1463920"/>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274768</xdr:colOff>
      <xdr:row>8</xdr:row>
      <xdr:rowOff>84266</xdr:rowOff>
    </xdr:from>
    <xdr:to>
      <xdr:col>21</xdr:col>
      <xdr:colOff>529753</xdr:colOff>
      <xdr:row>9</xdr:row>
      <xdr:rowOff>157535</xdr:rowOff>
    </xdr:to>
    <xdr:sp macro="" textlink="">
      <xdr:nvSpPr>
        <xdr:cNvPr id="180" name="Text Box 16"/>
        <xdr:cNvSpPr txBox="1">
          <a:spLocks noChangeArrowheads="1"/>
        </xdr:cNvSpPr>
      </xdr:nvSpPr>
      <xdr:spPr bwMode="auto">
        <a:xfrm>
          <a:off x="14796730" y="160826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219810</xdr:colOff>
      <xdr:row>4</xdr:row>
      <xdr:rowOff>43962</xdr:rowOff>
    </xdr:from>
    <xdr:to>
      <xdr:col>22</xdr:col>
      <xdr:colOff>16855</xdr:colOff>
      <xdr:row>7</xdr:row>
      <xdr:rowOff>72537</xdr:rowOff>
    </xdr:to>
    <xdr:sp macro="" textlink="">
      <xdr:nvSpPr>
        <xdr:cNvPr id="181" name="AutoShape 15"/>
        <xdr:cNvSpPr>
          <a:spLocks noChangeArrowheads="1"/>
        </xdr:cNvSpPr>
      </xdr:nvSpPr>
      <xdr:spPr bwMode="auto">
        <a:xfrm>
          <a:off x="14741772" y="923193"/>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274767</xdr:colOff>
      <xdr:row>5</xdr:row>
      <xdr:rowOff>25609</xdr:rowOff>
    </xdr:from>
    <xdr:to>
      <xdr:col>21</xdr:col>
      <xdr:colOff>617661</xdr:colOff>
      <xdr:row>6</xdr:row>
      <xdr:rowOff>98914</xdr:rowOff>
    </xdr:to>
    <xdr:sp macro="" textlink="">
      <xdr:nvSpPr>
        <xdr:cNvPr id="182" name="Text Box 16"/>
        <xdr:cNvSpPr txBox="1">
          <a:spLocks noChangeArrowheads="1"/>
        </xdr:cNvSpPr>
      </xdr:nvSpPr>
      <xdr:spPr bwMode="auto">
        <a:xfrm>
          <a:off x="14796729" y="1066032"/>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91592"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91593"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676275</xdr:colOff>
      <xdr:row>0</xdr:row>
      <xdr:rowOff>76200</xdr:rowOff>
    </xdr:from>
    <xdr:to>
      <xdr:col>20</xdr:col>
      <xdr:colOff>142875</xdr:colOff>
      <xdr:row>2</xdr:row>
      <xdr:rowOff>19050</xdr:rowOff>
    </xdr:to>
    <xdr:sp macro="" textlink="">
      <xdr:nvSpPr>
        <xdr:cNvPr id="191507" name="AutoShape 19">
          <a:hlinkClick xmlns:r="http://schemas.openxmlformats.org/officeDocument/2006/relationships" r:id="rId3"/>
        </xdr:cNvPr>
        <xdr:cNvSpPr>
          <a:spLocks noChangeArrowheads="1"/>
        </xdr:cNvSpPr>
      </xdr:nvSpPr>
      <xdr:spPr bwMode="auto">
        <a:xfrm>
          <a:off x="8972550" y="76200"/>
          <a:ext cx="952500" cy="45720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28575</xdr:colOff>
      <xdr:row>0</xdr:row>
      <xdr:rowOff>76200</xdr:rowOff>
    </xdr:from>
    <xdr:to>
      <xdr:col>17</xdr:col>
      <xdr:colOff>590550</xdr:colOff>
      <xdr:row>2</xdr:row>
      <xdr:rowOff>19050</xdr:rowOff>
    </xdr:to>
    <xdr:sp macro="" textlink="">
      <xdr:nvSpPr>
        <xdr:cNvPr id="191508" name="AutoShape 20">
          <a:hlinkClick xmlns:r="http://schemas.openxmlformats.org/officeDocument/2006/relationships" r:id="rId4"/>
        </xdr:cNvPr>
        <xdr:cNvSpPr>
          <a:spLocks noChangeArrowheads="1"/>
        </xdr:cNvSpPr>
      </xdr:nvSpPr>
      <xdr:spPr bwMode="auto">
        <a:xfrm>
          <a:off x="7934325" y="76200"/>
          <a:ext cx="952500" cy="45720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219075</xdr:colOff>
      <xdr:row>0</xdr:row>
      <xdr:rowOff>76200</xdr:rowOff>
    </xdr:from>
    <xdr:to>
      <xdr:col>22</xdr:col>
      <xdr:colOff>66675</xdr:colOff>
      <xdr:row>2</xdr:row>
      <xdr:rowOff>19050</xdr:rowOff>
    </xdr:to>
    <xdr:sp macro="" textlink="">
      <xdr:nvSpPr>
        <xdr:cNvPr id="191509" name="AutoShape 21">
          <a:hlinkClick xmlns:r="http://schemas.openxmlformats.org/officeDocument/2006/relationships" r:id="rId5"/>
        </xdr:cNvPr>
        <xdr:cNvSpPr>
          <a:spLocks noChangeArrowheads="1"/>
        </xdr:cNvSpPr>
      </xdr:nvSpPr>
      <xdr:spPr bwMode="auto">
        <a:xfrm>
          <a:off x="10001250" y="76200"/>
          <a:ext cx="952500" cy="45720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145678</xdr:colOff>
      <xdr:row>0</xdr:row>
      <xdr:rowOff>78439</xdr:rowOff>
    </xdr:from>
    <xdr:to>
      <xdr:col>24</xdr:col>
      <xdr:colOff>4484</xdr:colOff>
      <xdr:row>2</xdr:row>
      <xdr:rowOff>21289</xdr:rowOff>
    </xdr:to>
    <xdr:sp macro="" textlink="">
      <xdr:nvSpPr>
        <xdr:cNvPr id="7" name="AutoShape 19">
          <a:hlinkClick xmlns:r="http://schemas.openxmlformats.org/officeDocument/2006/relationships" r:id="rId6"/>
        </xdr:cNvPr>
        <xdr:cNvSpPr>
          <a:spLocks noChangeArrowheads="1"/>
        </xdr:cNvSpPr>
      </xdr:nvSpPr>
      <xdr:spPr bwMode="auto">
        <a:xfrm>
          <a:off x="11049002" y="78439"/>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80684</xdr:colOff>
      <xdr:row>0</xdr:row>
      <xdr:rowOff>78439</xdr:rowOff>
    </xdr:from>
    <xdr:to>
      <xdr:col>26</xdr:col>
      <xdr:colOff>253255</xdr:colOff>
      <xdr:row>2</xdr:row>
      <xdr:rowOff>21289</xdr:rowOff>
    </xdr:to>
    <xdr:sp macro="" textlink="">
      <xdr:nvSpPr>
        <xdr:cNvPr id="8" name="AutoShape 21">
          <a:hlinkClick xmlns:r="http://schemas.openxmlformats.org/officeDocument/2006/relationships" r:id="rId7"/>
        </xdr:cNvPr>
        <xdr:cNvSpPr>
          <a:spLocks noChangeArrowheads="1"/>
        </xdr:cNvSpPr>
      </xdr:nvSpPr>
      <xdr:spPr bwMode="auto">
        <a:xfrm>
          <a:off x="12082184" y="78439"/>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167787</xdr:colOff>
      <xdr:row>0</xdr:row>
      <xdr:rowOff>123825</xdr:rowOff>
    </xdr:from>
    <xdr:to>
      <xdr:col>5</xdr:col>
      <xdr:colOff>855053</xdr:colOff>
      <xdr:row>2</xdr:row>
      <xdr:rowOff>38100</xdr:rowOff>
    </xdr:to>
    <xdr:sp macro="" textlink="">
      <xdr:nvSpPr>
        <xdr:cNvPr id="2" name="AutoShape 13"/>
        <xdr:cNvSpPr>
          <a:spLocks noChangeArrowheads="1"/>
        </xdr:cNvSpPr>
      </xdr:nvSpPr>
      <xdr:spPr bwMode="auto">
        <a:xfrm>
          <a:off x="2761518" y="123825"/>
          <a:ext cx="1888881" cy="339237"/>
        </a:xfrm>
        <a:prstGeom prst="wedgeRectCallout">
          <a:avLst>
            <a:gd name="adj1" fmla="val 59597"/>
            <a:gd name="adj2" fmla="val 113889"/>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7</xdr:col>
      <xdr:colOff>0</xdr:colOff>
      <xdr:row>5</xdr:row>
      <xdr:rowOff>19050</xdr:rowOff>
    </xdr:from>
    <xdr:to>
      <xdr:col>19</xdr:col>
      <xdr:colOff>609600</xdr:colOff>
      <xdr:row>29</xdr:row>
      <xdr:rowOff>19050</xdr:rowOff>
    </xdr:to>
    <xdr:graphicFrame macro="">
      <xdr:nvGraphicFramePr>
        <xdr:cNvPr id="599492" name="Grafiek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30</xdr:row>
      <xdr:rowOff>0</xdr:rowOff>
    </xdr:from>
    <xdr:to>
      <xdr:col>20</xdr:col>
      <xdr:colOff>0</xdr:colOff>
      <xdr:row>54</xdr:row>
      <xdr:rowOff>0</xdr:rowOff>
    </xdr:to>
    <xdr:graphicFrame macro="">
      <xdr:nvGraphicFramePr>
        <xdr:cNvPr id="599493" name="Grafiek 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9525</xdr:colOff>
      <xdr:row>55</xdr:row>
      <xdr:rowOff>19050</xdr:rowOff>
    </xdr:from>
    <xdr:to>
      <xdr:col>20</xdr:col>
      <xdr:colOff>0</xdr:colOff>
      <xdr:row>79</xdr:row>
      <xdr:rowOff>19050</xdr:rowOff>
    </xdr:to>
    <xdr:graphicFrame macro="">
      <xdr:nvGraphicFramePr>
        <xdr:cNvPr id="599494" name="Grafiek 3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30</xdr:row>
      <xdr:rowOff>19050</xdr:rowOff>
    </xdr:from>
    <xdr:to>
      <xdr:col>35</xdr:col>
      <xdr:colOff>28575</xdr:colOff>
      <xdr:row>54</xdr:row>
      <xdr:rowOff>14654</xdr:rowOff>
    </xdr:to>
    <xdr:graphicFrame macro="">
      <xdr:nvGraphicFramePr>
        <xdr:cNvPr id="599495" name="Grafiek 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19050</xdr:colOff>
      <xdr:row>5</xdr:row>
      <xdr:rowOff>0</xdr:rowOff>
    </xdr:from>
    <xdr:to>
      <xdr:col>35</xdr:col>
      <xdr:colOff>19050</xdr:colOff>
      <xdr:row>29</xdr:row>
      <xdr:rowOff>29307</xdr:rowOff>
    </xdr:to>
    <xdr:graphicFrame macro="">
      <xdr:nvGraphicFramePr>
        <xdr:cNvPr id="599496" name="Grafiek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22</xdr:col>
      <xdr:colOff>9525</xdr:colOff>
      <xdr:row>55</xdr:row>
      <xdr:rowOff>3663</xdr:rowOff>
    </xdr:from>
    <xdr:to>
      <xdr:col>35</xdr:col>
      <xdr:colOff>28575</xdr:colOff>
      <xdr:row>78</xdr:row>
      <xdr:rowOff>155330</xdr:rowOff>
    </xdr:to>
    <xdr:graphicFrame macro="">
      <xdr:nvGraphicFramePr>
        <xdr:cNvPr id="599497" name="Grafiek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28575</xdr:colOff>
      <xdr:row>9</xdr:row>
      <xdr:rowOff>142875</xdr:rowOff>
    </xdr:from>
    <xdr:to>
      <xdr:col>4</xdr:col>
      <xdr:colOff>1123950</xdr:colOff>
      <xdr:row>14</xdr:row>
      <xdr:rowOff>9525</xdr:rowOff>
    </xdr:to>
    <xdr:sp macro="" textlink="">
      <xdr:nvSpPr>
        <xdr:cNvPr id="9" name="AutoShape 36">
          <a:hlinkClick xmlns:r="http://schemas.openxmlformats.org/officeDocument/2006/relationships" r:id="rId7"/>
        </xdr:cNvPr>
        <xdr:cNvSpPr>
          <a:spLocks noChangeArrowheads="1"/>
        </xdr:cNvSpPr>
      </xdr:nvSpPr>
      <xdr:spPr bwMode="auto">
        <a:xfrm>
          <a:off x="2619375" y="1828800"/>
          <a:ext cx="1095375" cy="6762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4</xdr:col>
      <xdr:colOff>28575</xdr:colOff>
      <xdr:row>5</xdr:row>
      <xdr:rowOff>28575</xdr:rowOff>
    </xdr:from>
    <xdr:to>
      <xdr:col>4</xdr:col>
      <xdr:colOff>1123950</xdr:colOff>
      <xdr:row>9</xdr:row>
      <xdr:rowOff>57150</xdr:rowOff>
    </xdr:to>
    <xdr:sp macro="" textlink="">
      <xdr:nvSpPr>
        <xdr:cNvPr id="10" name="AutoShape 37">
          <a:hlinkClick xmlns:r="http://schemas.openxmlformats.org/officeDocument/2006/relationships" r:id="rId8"/>
        </xdr:cNvPr>
        <xdr:cNvSpPr>
          <a:spLocks noChangeArrowheads="1"/>
        </xdr:cNvSpPr>
      </xdr:nvSpPr>
      <xdr:spPr bwMode="auto">
        <a:xfrm>
          <a:off x="2619375" y="1066800"/>
          <a:ext cx="1095375" cy="6762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4</xdr:col>
      <xdr:colOff>28575</xdr:colOff>
      <xdr:row>24</xdr:row>
      <xdr:rowOff>99646</xdr:rowOff>
    </xdr:from>
    <xdr:to>
      <xdr:col>4</xdr:col>
      <xdr:colOff>1123950</xdr:colOff>
      <xdr:row>28</xdr:row>
      <xdr:rowOff>128222</xdr:rowOff>
    </xdr:to>
    <xdr:sp macro="" textlink="">
      <xdr:nvSpPr>
        <xdr:cNvPr id="11" name="AutoShape 38">
          <a:hlinkClick xmlns:r="http://schemas.openxmlformats.org/officeDocument/2006/relationships" r:id="rId9"/>
        </xdr:cNvPr>
        <xdr:cNvSpPr>
          <a:spLocks noChangeArrowheads="1"/>
        </xdr:cNvSpPr>
      </xdr:nvSpPr>
      <xdr:spPr bwMode="auto">
        <a:xfrm>
          <a:off x="2622306" y="4202723"/>
          <a:ext cx="1095375" cy="673345"/>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fPrintsWithSheet="0"/>
  </xdr:twoCellAnchor>
  <xdr:twoCellAnchor>
    <xdr:from>
      <xdr:col>4</xdr:col>
      <xdr:colOff>28575</xdr:colOff>
      <xdr:row>19</xdr:row>
      <xdr:rowOff>109172</xdr:rowOff>
    </xdr:from>
    <xdr:to>
      <xdr:col>4</xdr:col>
      <xdr:colOff>1123950</xdr:colOff>
      <xdr:row>23</xdr:row>
      <xdr:rowOff>137746</xdr:rowOff>
    </xdr:to>
    <xdr:sp macro="" textlink="">
      <xdr:nvSpPr>
        <xdr:cNvPr id="12" name="AutoShape 39">
          <a:hlinkClick xmlns:r="http://schemas.openxmlformats.org/officeDocument/2006/relationships" r:id="rId10"/>
        </xdr:cNvPr>
        <xdr:cNvSpPr>
          <a:spLocks noChangeArrowheads="1"/>
        </xdr:cNvSpPr>
      </xdr:nvSpPr>
      <xdr:spPr bwMode="auto">
        <a:xfrm>
          <a:off x="2622306" y="3406287"/>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fPrintsWithSheet="0"/>
  </xdr:twoCellAnchor>
  <xdr:twoCellAnchor>
    <xdr:from>
      <xdr:col>4</xdr:col>
      <xdr:colOff>32971</xdr:colOff>
      <xdr:row>34</xdr:row>
      <xdr:rowOff>32238</xdr:rowOff>
    </xdr:from>
    <xdr:to>
      <xdr:col>4</xdr:col>
      <xdr:colOff>1128346</xdr:colOff>
      <xdr:row>38</xdr:row>
      <xdr:rowOff>32238</xdr:rowOff>
    </xdr:to>
    <xdr:sp macro="" textlink="">
      <xdr:nvSpPr>
        <xdr:cNvPr id="13" name="AutoShape 40">
          <a:hlinkClick xmlns:r="http://schemas.openxmlformats.org/officeDocument/2006/relationships" r:id="rId11"/>
        </xdr:cNvPr>
        <xdr:cNvSpPr>
          <a:spLocks noChangeArrowheads="1"/>
        </xdr:cNvSpPr>
      </xdr:nvSpPr>
      <xdr:spPr bwMode="auto">
        <a:xfrm>
          <a:off x="2626702" y="5776546"/>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fPrintsWithSheet="0"/>
  </xdr:twoCellAnchor>
  <xdr:twoCellAnchor>
    <xdr:from>
      <xdr:col>4</xdr:col>
      <xdr:colOff>28575</xdr:colOff>
      <xdr:row>29</xdr:row>
      <xdr:rowOff>80597</xdr:rowOff>
    </xdr:from>
    <xdr:to>
      <xdr:col>4</xdr:col>
      <xdr:colOff>1123950</xdr:colOff>
      <xdr:row>33</xdr:row>
      <xdr:rowOff>79864</xdr:rowOff>
    </xdr:to>
    <xdr:sp macro="" textlink="">
      <xdr:nvSpPr>
        <xdr:cNvPr id="14" name="AutoShape 41">
          <a:hlinkClick xmlns:r="http://schemas.openxmlformats.org/officeDocument/2006/relationships" r:id="rId12"/>
        </xdr:cNvPr>
        <xdr:cNvSpPr>
          <a:spLocks noChangeArrowheads="1"/>
        </xdr:cNvSpPr>
      </xdr:nvSpPr>
      <xdr:spPr bwMode="auto">
        <a:xfrm>
          <a:off x="2622306" y="4989635"/>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fPrintsWithSheet="0"/>
  </xdr:twoCellAnchor>
  <xdr:twoCellAnchor>
    <xdr:from>
      <xdr:col>4</xdr:col>
      <xdr:colOff>28575</xdr:colOff>
      <xdr:row>43</xdr:row>
      <xdr:rowOff>79864</xdr:rowOff>
    </xdr:from>
    <xdr:to>
      <xdr:col>4</xdr:col>
      <xdr:colOff>1123950</xdr:colOff>
      <xdr:row>47</xdr:row>
      <xdr:rowOff>109172</xdr:rowOff>
    </xdr:to>
    <xdr:sp macro="" textlink="">
      <xdr:nvSpPr>
        <xdr:cNvPr id="15" name="AutoShape 42">
          <a:hlinkClick xmlns:r="http://schemas.openxmlformats.org/officeDocument/2006/relationships" r:id="rId13"/>
        </xdr:cNvPr>
        <xdr:cNvSpPr>
          <a:spLocks noChangeArrowheads="1"/>
        </xdr:cNvSpPr>
      </xdr:nvSpPr>
      <xdr:spPr bwMode="auto">
        <a:xfrm>
          <a:off x="2622306" y="7333518"/>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fPrintsWithSheet="0"/>
  </xdr:twoCellAnchor>
  <xdr:twoCellAnchor>
    <xdr:from>
      <xdr:col>4</xdr:col>
      <xdr:colOff>28575</xdr:colOff>
      <xdr:row>38</xdr:row>
      <xdr:rowOff>145806</xdr:rowOff>
    </xdr:from>
    <xdr:to>
      <xdr:col>4</xdr:col>
      <xdr:colOff>1123950</xdr:colOff>
      <xdr:row>42</xdr:row>
      <xdr:rowOff>145806</xdr:rowOff>
    </xdr:to>
    <xdr:sp macro="" textlink="">
      <xdr:nvSpPr>
        <xdr:cNvPr id="16" name="AutoShape 43">
          <a:hlinkClick xmlns:r="http://schemas.openxmlformats.org/officeDocument/2006/relationships" r:id="rId14"/>
        </xdr:cNvPr>
        <xdr:cNvSpPr>
          <a:spLocks noChangeArrowheads="1"/>
        </xdr:cNvSpPr>
      </xdr:nvSpPr>
      <xdr:spPr bwMode="auto">
        <a:xfrm>
          <a:off x="2622306" y="6564191"/>
          <a:ext cx="1095375" cy="674077"/>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fPrintsWithSheet="0"/>
  </xdr:twoCellAnchor>
  <xdr:twoCellAnchor>
    <xdr:from>
      <xdr:col>4</xdr:col>
      <xdr:colOff>32971</xdr:colOff>
      <xdr:row>53</xdr:row>
      <xdr:rowOff>52021</xdr:rowOff>
    </xdr:from>
    <xdr:to>
      <xdr:col>4</xdr:col>
      <xdr:colOff>1128346</xdr:colOff>
      <xdr:row>57</xdr:row>
      <xdr:rowOff>80597</xdr:rowOff>
    </xdr:to>
    <xdr:sp macro="" textlink="">
      <xdr:nvSpPr>
        <xdr:cNvPr id="17" name="AutoShape 44">
          <a:hlinkClick xmlns:r="http://schemas.openxmlformats.org/officeDocument/2006/relationships" r:id="rId15"/>
        </xdr:cNvPr>
        <xdr:cNvSpPr>
          <a:spLocks noChangeArrowheads="1"/>
        </xdr:cNvSpPr>
      </xdr:nvSpPr>
      <xdr:spPr bwMode="auto">
        <a:xfrm>
          <a:off x="2626702" y="8917598"/>
          <a:ext cx="1095375" cy="673345"/>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fPrintsWithSheet="0"/>
  </xdr:twoCellAnchor>
  <xdr:twoCellAnchor>
    <xdr:from>
      <xdr:col>4</xdr:col>
      <xdr:colOff>28575</xdr:colOff>
      <xdr:row>48</xdr:row>
      <xdr:rowOff>61547</xdr:rowOff>
    </xdr:from>
    <xdr:to>
      <xdr:col>4</xdr:col>
      <xdr:colOff>1123950</xdr:colOff>
      <xdr:row>52</xdr:row>
      <xdr:rowOff>90121</xdr:rowOff>
    </xdr:to>
    <xdr:sp macro="" textlink="">
      <xdr:nvSpPr>
        <xdr:cNvPr id="18" name="AutoShape 45">
          <a:hlinkClick xmlns:r="http://schemas.openxmlformats.org/officeDocument/2006/relationships" r:id="rId16"/>
        </xdr:cNvPr>
        <xdr:cNvSpPr>
          <a:spLocks noChangeArrowheads="1"/>
        </xdr:cNvSpPr>
      </xdr:nvSpPr>
      <xdr:spPr bwMode="auto">
        <a:xfrm>
          <a:off x="2622306" y="8121162"/>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fPrintsWithSheet="0"/>
  </xdr:twoCellAnchor>
  <xdr:twoCellAnchor>
    <xdr:from>
      <xdr:col>4</xdr:col>
      <xdr:colOff>28575</xdr:colOff>
      <xdr:row>58</xdr:row>
      <xdr:rowOff>32972</xdr:rowOff>
    </xdr:from>
    <xdr:to>
      <xdr:col>4</xdr:col>
      <xdr:colOff>1123950</xdr:colOff>
      <xdr:row>62</xdr:row>
      <xdr:rowOff>61546</xdr:rowOff>
    </xdr:to>
    <xdr:sp macro="" textlink="">
      <xdr:nvSpPr>
        <xdr:cNvPr id="19" name="AutoShape 46">
          <a:hlinkClick xmlns:r="http://schemas.openxmlformats.org/officeDocument/2006/relationships" r:id="rId17"/>
        </xdr:cNvPr>
        <xdr:cNvSpPr>
          <a:spLocks noChangeArrowheads="1"/>
        </xdr:cNvSpPr>
      </xdr:nvSpPr>
      <xdr:spPr bwMode="auto">
        <a:xfrm>
          <a:off x="2622306" y="9704510"/>
          <a:ext cx="1095375" cy="673344"/>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fPrintsWithSheet="0"/>
  </xdr:twoCellAnchor>
  <xdr:twoCellAnchor>
    <xdr:from>
      <xdr:col>4</xdr:col>
      <xdr:colOff>29308</xdr:colOff>
      <xdr:row>14</xdr:row>
      <xdr:rowOff>117230</xdr:rowOff>
    </xdr:from>
    <xdr:to>
      <xdr:col>4</xdr:col>
      <xdr:colOff>1124683</xdr:colOff>
      <xdr:row>18</xdr:row>
      <xdr:rowOff>145073</xdr:rowOff>
    </xdr:to>
    <xdr:sp macro="" textlink="">
      <xdr:nvSpPr>
        <xdr:cNvPr id="102" name="AutoShape 36">
          <a:hlinkClick xmlns:r="http://schemas.openxmlformats.org/officeDocument/2006/relationships" r:id="rId18"/>
        </xdr:cNvPr>
        <xdr:cNvSpPr>
          <a:spLocks noChangeArrowheads="1"/>
        </xdr:cNvSpPr>
      </xdr:nvSpPr>
      <xdr:spPr bwMode="auto">
        <a:xfrm>
          <a:off x="2623039" y="2608384"/>
          <a:ext cx="1095375" cy="672612"/>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5</xdr:col>
      <xdr:colOff>659423</xdr:colOff>
      <xdr:row>21</xdr:row>
      <xdr:rowOff>39564</xdr:rowOff>
    </xdr:from>
    <xdr:to>
      <xdr:col>7</xdr:col>
      <xdr:colOff>2198</xdr:colOff>
      <xdr:row>24</xdr:row>
      <xdr:rowOff>68139</xdr:rowOff>
    </xdr:to>
    <xdr:sp macro="" textlink="">
      <xdr:nvSpPr>
        <xdr:cNvPr id="93" name="AutoShape 15"/>
        <xdr:cNvSpPr>
          <a:spLocks noChangeArrowheads="1"/>
        </xdr:cNvSpPr>
      </xdr:nvSpPr>
      <xdr:spPr bwMode="auto">
        <a:xfrm>
          <a:off x="4454769" y="365906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22</xdr:row>
      <xdr:rowOff>25650</xdr:rowOff>
    </xdr:from>
    <xdr:to>
      <xdr:col>6</xdr:col>
      <xdr:colOff>412519</xdr:colOff>
      <xdr:row>23</xdr:row>
      <xdr:rowOff>98918</xdr:rowOff>
    </xdr:to>
    <xdr:sp macro="" textlink="">
      <xdr:nvSpPr>
        <xdr:cNvPr id="94" name="Text Box 16"/>
        <xdr:cNvSpPr txBox="1">
          <a:spLocks noChangeArrowheads="1"/>
        </xdr:cNvSpPr>
      </xdr:nvSpPr>
      <xdr:spPr bwMode="auto">
        <a:xfrm>
          <a:off x="4509727" y="3806342"/>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659423</xdr:colOff>
      <xdr:row>17</xdr:row>
      <xdr:rowOff>144339</xdr:rowOff>
    </xdr:from>
    <xdr:to>
      <xdr:col>7</xdr:col>
      <xdr:colOff>2198</xdr:colOff>
      <xdr:row>21</xdr:row>
      <xdr:rowOff>10989</xdr:rowOff>
    </xdr:to>
    <xdr:sp macro="" textlink="">
      <xdr:nvSpPr>
        <xdr:cNvPr id="95" name="AutoShape 15"/>
        <xdr:cNvSpPr>
          <a:spLocks noChangeArrowheads="1"/>
        </xdr:cNvSpPr>
      </xdr:nvSpPr>
      <xdr:spPr bwMode="auto">
        <a:xfrm>
          <a:off x="4454769" y="3119070"/>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18</xdr:row>
      <xdr:rowOff>142885</xdr:rowOff>
    </xdr:from>
    <xdr:to>
      <xdr:col>7</xdr:col>
      <xdr:colOff>2198</xdr:colOff>
      <xdr:row>20</xdr:row>
      <xdr:rowOff>25643</xdr:rowOff>
    </xdr:to>
    <xdr:sp macro="" textlink="">
      <xdr:nvSpPr>
        <xdr:cNvPr id="96" name="Text Box 16"/>
        <xdr:cNvSpPr txBox="1">
          <a:spLocks noChangeArrowheads="1"/>
        </xdr:cNvSpPr>
      </xdr:nvSpPr>
      <xdr:spPr bwMode="auto">
        <a:xfrm>
          <a:off x="4509727" y="3278808"/>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659423</xdr:colOff>
      <xdr:row>14</xdr:row>
      <xdr:rowOff>87189</xdr:rowOff>
    </xdr:from>
    <xdr:to>
      <xdr:col>7</xdr:col>
      <xdr:colOff>2198</xdr:colOff>
      <xdr:row>17</xdr:row>
      <xdr:rowOff>115764</xdr:rowOff>
    </xdr:to>
    <xdr:sp macro="" textlink="">
      <xdr:nvSpPr>
        <xdr:cNvPr id="97" name="AutoShape 15"/>
        <xdr:cNvSpPr>
          <a:spLocks noChangeArrowheads="1"/>
        </xdr:cNvSpPr>
      </xdr:nvSpPr>
      <xdr:spPr bwMode="auto">
        <a:xfrm>
          <a:off x="4454769" y="2578343"/>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15</xdr:row>
      <xdr:rowOff>69610</xdr:rowOff>
    </xdr:from>
    <xdr:to>
      <xdr:col>6</xdr:col>
      <xdr:colOff>412519</xdr:colOff>
      <xdr:row>16</xdr:row>
      <xdr:rowOff>142879</xdr:rowOff>
    </xdr:to>
    <xdr:sp macro="" textlink="">
      <xdr:nvSpPr>
        <xdr:cNvPr id="98" name="Text Box 16"/>
        <xdr:cNvSpPr txBox="1">
          <a:spLocks noChangeArrowheads="1"/>
        </xdr:cNvSpPr>
      </xdr:nvSpPr>
      <xdr:spPr bwMode="auto">
        <a:xfrm>
          <a:off x="4509727" y="272195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659423</xdr:colOff>
      <xdr:row>10</xdr:row>
      <xdr:rowOff>153864</xdr:rowOff>
    </xdr:from>
    <xdr:to>
      <xdr:col>7</xdr:col>
      <xdr:colOff>2198</xdr:colOff>
      <xdr:row>14</xdr:row>
      <xdr:rowOff>30039</xdr:rowOff>
    </xdr:to>
    <xdr:sp macro="" textlink="">
      <xdr:nvSpPr>
        <xdr:cNvPr id="99" name="AutoShape 15"/>
        <xdr:cNvSpPr>
          <a:spLocks noChangeArrowheads="1"/>
        </xdr:cNvSpPr>
      </xdr:nvSpPr>
      <xdr:spPr bwMode="auto">
        <a:xfrm>
          <a:off x="4454769" y="2000249"/>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11</xdr:row>
      <xdr:rowOff>142887</xdr:rowOff>
    </xdr:from>
    <xdr:to>
      <xdr:col>6</xdr:col>
      <xdr:colOff>412519</xdr:colOff>
      <xdr:row>13</xdr:row>
      <xdr:rowOff>54963</xdr:rowOff>
    </xdr:to>
    <xdr:sp macro="" textlink="">
      <xdr:nvSpPr>
        <xdr:cNvPr id="100" name="Text Box 16"/>
        <xdr:cNvSpPr txBox="1">
          <a:spLocks noChangeArrowheads="1"/>
        </xdr:cNvSpPr>
      </xdr:nvSpPr>
      <xdr:spPr bwMode="auto">
        <a:xfrm>
          <a:off x="4509727" y="215046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659423</xdr:colOff>
      <xdr:row>7</xdr:row>
      <xdr:rowOff>115764</xdr:rowOff>
    </xdr:from>
    <xdr:to>
      <xdr:col>7</xdr:col>
      <xdr:colOff>2198</xdr:colOff>
      <xdr:row>10</xdr:row>
      <xdr:rowOff>144339</xdr:rowOff>
    </xdr:to>
    <xdr:sp macro="" textlink="">
      <xdr:nvSpPr>
        <xdr:cNvPr id="101" name="AutoShape 15"/>
        <xdr:cNvSpPr>
          <a:spLocks noChangeArrowheads="1"/>
        </xdr:cNvSpPr>
      </xdr:nvSpPr>
      <xdr:spPr bwMode="auto">
        <a:xfrm>
          <a:off x="4454769" y="147857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8</xdr:row>
      <xdr:rowOff>98918</xdr:rowOff>
    </xdr:from>
    <xdr:to>
      <xdr:col>6</xdr:col>
      <xdr:colOff>412519</xdr:colOff>
      <xdr:row>10</xdr:row>
      <xdr:rowOff>10994</xdr:rowOff>
    </xdr:to>
    <xdr:sp macro="" textlink="">
      <xdr:nvSpPr>
        <xdr:cNvPr id="103" name="Text Box 16"/>
        <xdr:cNvSpPr txBox="1">
          <a:spLocks noChangeArrowheads="1"/>
        </xdr:cNvSpPr>
      </xdr:nvSpPr>
      <xdr:spPr bwMode="auto">
        <a:xfrm>
          <a:off x="4509727" y="162291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659423</xdr:colOff>
      <xdr:row>4</xdr:row>
      <xdr:rowOff>58614</xdr:rowOff>
    </xdr:from>
    <xdr:to>
      <xdr:col>7</xdr:col>
      <xdr:colOff>2198</xdr:colOff>
      <xdr:row>7</xdr:row>
      <xdr:rowOff>87189</xdr:rowOff>
    </xdr:to>
    <xdr:sp macro="" textlink="">
      <xdr:nvSpPr>
        <xdr:cNvPr id="104" name="AutoShape 15"/>
        <xdr:cNvSpPr>
          <a:spLocks noChangeArrowheads="1"/>
        </xdr:cNvSpPr>
      </xdr:nvSpPr>
      <xdr:spPr bwMode="auto">
        <a:xfrm>
          <a:off x="4454769" y="93784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714380</xdr:colOff>
      <xdr:row>5</xdr:row>
      <xdr:rowOff>40261</xdr:rowOff>
    </xdr:from>
    <xdr:to>
      <xdr:col>6</xdr:col>
      <xdr:colOff>500427</xdr:colOff>
      <xdr:row>6</xdr:row>
      <xdr:rowOff>113566</xdr:rowOff>
    </xdr:to>
    <xdr:sp macro="" textlink="">
      <xdr:nvSpPr>
        <xdr:cNvPr id="105" name="Text Box 16"/>
        <xdr:cNvSpPr txBox="1">
          <a:spLocks noChangeArrowheads="1"/>
        </xdr:cNvSpPr>
      </xdr:nvSpPr>
      <xdr:spPr bwMode="auto">
        <a:xfrm>
          <a:off x="4509726" y="1080684"/>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5</xdr:col>
      <xdr:colOff>659424</xdr:colOff>
      <xdr:row>45</xdr:row>
      <xdr:rowOff>127488</xdr:rowOff>
    </xdr:from>
    <xdr:to>
      <xdr:col>7</xdr:col>
      <xdr:colOff>2199</xdr:colOff>
      <xdr:row>48</xdr:row>
      <xdr:rowOff>156063</xdr:rowOff>
    </xdr:to>
    <xdr:sp macro="" textlink="">
      <xdr:nvSpPr>
        <xdr:cNvPr id="106" name="AutoShape 15"/>
        <xdr:cNvSpPr>
          <a:spLocks noChangeArrowheads="1"/>
        </xdr:cNvSpPr>
      </xdr:nvSpPr>
      <xdr:spPr bwMode="auto">
        <a:xfrm>
          <a:off x="4454770" y="7703526"/>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714382</xdr:colOff>
      <xdr:row>46</xdr:row>
      <xdr:rowOff>113573</xdr:rowOff>
    </xdr:from>
    <xdr:to>
      <xdr:col>6</xdr:col>
      <xdr:colOff>412520</xdr:colOff>
      <xdr:row>48</xdr:row>
      <xdr:rowOff>25650</xdr:rowOff>
    </xdr:to>
    <xdr:sp macro="" textlink="">
      <xdr:nvSpPr>
        <xdr:cNvPr id="107" name="Text Box 16"/>
        <xdr:cNvSpPr txBox="1">
          <a:spLocks noChangeArrowheads="1"/>
        </xdr:cNvSpPr>
      </xdr:nvSpPr>
      <xdr:spPr bwMode="auto">
        <a:xfrm>
          <a:off x="4509728" y="785080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659424</xdr:colOff>
      <xdr:row>42</xdr:row>
      <xdr:rowOff>71070</xdr:rowOff>
    </xdr:from>
    <xdr:to>
      <xdr:col>7</xdr:col>
      <xdr:colOff>2199</xdr:colOff>
      <xdr:row>45</xdr:row>
      <xdr:rowOff>98913</xdr:rowOff>
    </xdr:to>
    <xdr:sp macro="" textlink="">
      <xdr:nvSpPr>
        <xdr:cNvPr id="108" name="AutoShape 15"/>
        <xdr:cNvSpPr>
          <a:spLocks noChangeArrowheads="1"/>
        </xdr:cNvSpPr>
      </xdr:nvSpPr>
      <xdr:spPr bwMode="auto">
        <a:xfrm>
          <a:off x="4454770" y="7163532"/>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714382</xdr:colOff>
      <xdr:row>43</xdr:row>
      <xdr:rowOff>69616</xdr:rowOff>
    </xdr:from>
    <xdr:to>
      <xdr:col>7</xdr:col>
      <xdr:colOff>2199</xdr:colOff>
      <xdr:row>44</xdr:row>
      <xdr:rowOff>113567</xdr:rowOff>
    </xdr:to>
    <xdr:sp macro="" textlink="">
      <xdr:nvSpPr>
        <xdr:cNvPr id="109" name="Text Box 16"/>
        <xdr:cNvSpPr txBox="1">
          <a:spLocks noChangeArrowheads="1"/>
        </xdr:cNvSpPr>
      </xdr:nvSpPr>
      <xdr:spPr bwMode="auto">
        <a:xfrm>
          <a:off x="4509728" y="7323270"/>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659424</xdr:colOff>
      <xdr:row>39</xdr:row>
      <xdr:rowOff>43228</xdr:rowOff>
    </xdr:from>
    <xdr:to>
      <xdr:col>7</xdr:col>
      <xdr:colOff>2199</xdr:colOff>
      <xdr:row>42</xdr:row>
      <xdr:rowOff>42495</xdr:rowOff>
    </xdr:to>
    <xdr:sp macro="" textlink="">
      <xdr:nvSpPr>
        <xdr:cNvPr id="110" name="AutoShape 15"/>
        <xdr:cNvSpPr>
          <a:spLocks noChangeArrowheads="1"/>
        </xdr:cNvSpPr>
      </xdr:nvSpPr>
      <xdr:spPr bwMode="auto">
        <a:xfrm>
          <a:off x="4454770" y="662280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714382</xdr:colOff>
      <xdr:row>40</xdr:row>
      <xdr:rowOff>25649</xdr:rowOff>
    </xdr:from>
    <xdr:to>
      <xdr:col>6</xdr:col>
      <xdr:colOff>412520</xdr:colOff>
      <xdr:row>41</xdr:row>
      <xdr:rowOff>69610</xdr:rowOff>
    </xdr:to>
    <xdr:sp macro="" textlink="">
      <xdr:nvSpPr>
        <xdr:cNvPr id="111" name="Text Box 16"/>
        <xdr:cNvSpPr txBox="1">
          <a:spLocks noChangeArrowheads="1"/>
        </xdr:cNvSpPr>
      </xdr:nvSpPr>
      <xdr:spPr bwMode="auto">
        <a:xfrm>
          <a:off x="4509728" y="676641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659424</xdr:colOff>
      <xdr:row>35</xdr:row>
      <xdr:rowOff>109903</xdr:rowOff>
    </xdr:from>
    <xdr:to>
      <xdr:col>7</xdr:col>
      <xdr:colOff>2199</xdr:colOff>
      <xdr:row>38</xdr:row>
      <xdr:rowOff>147270</xdr:rowOff>
    </xdr:to>
    <xdr:sp macro="" textlink="">
      <xdr:nvSpPr>
        <xdr:cNvPr id="112" name="AutoShape 15"/>
        <xdr:cNvSpPr>
          <a:spLocks noChangeArrowheads="1"/>
        </xdr:cNvSpPr>
      </xdr:nvSpPr>
      <xdr:spPr bwMode="auto">
        <a:xfrm>
          <a:off x="4454770" y="6044711"/>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714382</xdr:colOff>
      <xdr:row>36</xdr:row>
      <xdr:rowOff>98926</xdr:rowOff>
    </xdr:from>
    <xdr:to>
      <xdr:col>6</xdr:col>
      <xdr:colOff>412520</xdr:colOff>
      <xdr:row>38</xdr:row>
      <xdr:rowOff>11002</xdr:rowOff>
    </xdr:to>
    <xdr:sp macro="" textlink="">
      <xdr:nvSpPr>
        <xdr:cNvPr id="113" name="Text Box 16"/>
        <xdr:cNvSpPr txBox="1">
          <a:spLocks noChangeArrowheads="1"/>
        </xdr:cNvSpPr>
      </xdr:nvSpPr>
      <xdr:spPr bwMode="auto">
        <a:xfrm>
          <a:off x="4509728" y="619492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659424</xdr:colOff>
      <xdr:row>32</xdr:row>
      <xdr:rowOff>101111</xdr:rowOff>
    </xdr:from>
    <xdr:to>
      <xdr:col>7</xdr:col>
      <xdr:colOff>2199</xdr:colOff>
      <xdr:row>35</xdr:row>
      <xdr:rowOff>100378</xdr:rowOff>
    </xdr:to>
    <xdr:sp macro="" textlink="">
      <xdr:nvSpPr>
        <xdr:cNvPr id="114" name="AutoShape 15"/>
        <xdr:cNvSpPr>
          <a:spLocks noChangeArrowheads="1"/>
        </xdr:cNvSpPr>
      </xdr:nvSpPr>
      <xdr:spPr bwMode="auto">
        <a:xfrm>
          <a:off x="4454770" y="552303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714382</xdr:colOff>
      <xdr:row>33</xdr:row>
      <xdr:rowOff>84265</xdr:rowOff>
    </xdr:from>
    <xdr:to>
      <xdr:col>6</xdr:col>
      <xdr:colOff>412520</xdr:colOff>
      <xdr:row>34</xdr:row>
      <xdr:rowOff>157533</xdr:rowOff>
    </xdr:to>
    <xdr:sp macro="" textlink="">
      <xdr:nvSpPr>
        <xdr:cNvPr id="115" name="Text Box 16"/>
        <xdr:cNvSpPr txBox="1">
          <a:spLocks noChangeArrowheads="1"/>
        </xdr:cNvSpPr>
      </xdr:nvSpPr>
      <xdr:spPr bwMode="auto">
        <a:xfrm>
          <a:off x="4509728" y="566738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659424</xdr:colOff>
      <xdr:row>29</xdr:row>
      <xdr:rowOff>73269</xdr:rowOff>
    </xdr:from>
    <xdr:to>
      <xdr:col>7</xdr:col>
      <xdr:colOff>2199</xdr:colOff>
      <xdr:row>32</xdr:row>
      <xdr:rowOff>72536</xdr:rowOff>
    </xdr:to>
    <xdr:sp macro="" textlink="">
      <xdr:nvSpPr>
        <xdr:cNvPr id="116" name="AutoShape 15"/>
        <xdr:cNvSpPr>
          <a:spLocks noChangeArrowheads="1"/>
        </xdr:cNvSpPr>
      </xdr:nvSpPr>
      <xdr:spPr bwMode="auto">
        <a:xfrm>
          <a:off x="4454770" y="4982307"/>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714381</xdr:colOff>
      <xdr:row>30</xdr:row>
      <xdr:rowOff>54915</xdr:rowOff>
    </xdr:from>
    <xdr:to>
      <xdr:col>6</xdr:col>
      <xdr:colOff>500428</xdr:colOff>
      <xdr:row>31</xdr:row>
      <xdr:rowOff>128220</xdr:rowOff>
    </xdr:to>
    <xdr:sp macro="" textlink="">
      <xdr:nvSpPr>
        <xdr:cNvPr id="117" name="Text Box 16"/>
        <xdr:cNvSpPr txBox="1">
          <a:spLocks noChangeArrowheads="1"/>
        </xdr:cNvSpPr>
      </xdr:nvSpPr>
      <xdr:spPr bwMode="auto">
        <a:xfrm>
          <a:off x="4509727" y="5125146"/>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219807</xdr:colOff>
      <xdr:row>21</xdr:row>
      <xdr:rowOff>39566</xdr:rowOff>
    </xdr:from>
    <xdr:to>
      <xdr:col>22</xdr:col>
      <xdr:colOff>16852</xdr:colOff>
      <xdr:row>24</xdr:row>
      <xdr:rowOff>68141</xdr:rowOff>
    </xdr:to>
    <xdr:sp macro="" textlink="">
      <xdr:nvSpPr>
        <xdr:cNvPr id="118" name="AutoShape 15"/>
        <xdr:cNvSpPr>
          <a:spLocks noChangeArrowheads="1"/>
        </xdr:cNvSpPr>
      </xdr:nvSpPr>
      <xdr:spPr bwMode="auto">
        <a:xfrm>
          <a:off x="14741769" y="3659066"/>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22</xdr:row>
      <xdr:rowOff>25652</xdr:rowOff>
    </xdr:from>
    <xdr:to>
      <xdr:col>21</xdr:col>
      <xdr:colOff>529750</xdr:colOff>
      <xdr:row>23</xdr:row>
      <xdr:rowOff>98920</xdr:rowOff>
    </xdr:to>
    <xdr:sp macro="" textlink="">
      <xdr:nvSpPr>
        <xdr:cNvPr id="119" name="Text Box 16"/>
        <xdr:cNvSpPr txBox="1">
          <a:spLocks noChangeArrowheads="1"/>
        </xdr:cNvSpPr>
      </xdr:nvSpPr>
      <xdr:spPr bwMode="auto">
        <a:xfrm>
          <a:off x="14796727" y="380634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219807</xdr:colOff>
      <xdr:row>17</xdr:row>
      <xdr:rowOff>144341</xdr:rowOff>
    </xdr:from>
    <xdr:to>
      <xdr:col>22</xdr:col>
      <xdr:colOff>16852</xdr:colOff>
      <xdr:row>21</xdr:row>
      <xdr:rowOff>10991</xdr:rowOff>
    </xdr:to>
    <xdr:sp macro="" textlink="">
      <xdr:nvSpPr>
        <xdr:cNvPr id="120" name="AutoShape 15"/>
        <xdr:cNvSpPr>
          <a:spLocks noChangeArrowheads="1"/>
        </xdr:cNvSpPr>
      </xdr:nvSpPr>
      <xdr:spPr bwMode="auto">
        <a:xfrm>
          <a:off x="14741769" y="3119072"/>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18</xdr:row>
      <xdr:rowOff>142887</xdr:rowOff>
    </xdr:from>
    <xdr:to>
      <xdr:col>22</xdr:col>
      <xdr:colOff>16852</xdr:colOff>
      <xdr:row>20</xdr:row>
      <xdr:rowOff>25645</xdr:rowOff>
    </xdr:to>
    <xdr:sp macro="" textlink="">
      <xdr:nvSpPr>
        <xdr:cNvPr id="121" name="Text Box 16"/>
        <xdr:cNvSpPr txBox="1">
          <a:spLocks noChangeArrowheads="1"/>
        </xdr:cNvSpPr>
      </xdr:nvSpPr>
      <xdr:spPr bwMode="auto">
        <a:xfrm>
          <a:off x="14796727" y="3278810"/>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219807</xdr:colOff>
      <xdr:row>14</xdr:row>
      <xdr:rowOff>87191</xdr:rowOff>
    </xdr:from>
    <xdr:to>
      <xdr:col>22</xdr:col>
      <xdr:colOff>16852</xdr:colOff>
      <xdr:row>17</xdr:row>
      <xdr:rowOff>115766</xdr:rowOff>
    </xdr:to>
    <xdr:sp macro="" textlink="">
      <xdr:nvSpPr>
        <xdr:cNvPr id="122" name="AutoShape 15"/>
        <xdr:cNvSpPr>
          <a:spLocks noChangeArrowheads="1"/>
        </xdr:cNvSpPr>
      </xdr:nvSpPr>
      <xdr:spPr bwMode="auto">
        <a:xfrm>
          <a:off x="14741769" y="257834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15</xdr:row>
      <xdr:rowOff>69612</xdr:rowOff>
    </xdr:from>
    <xdr:to>
      <xdr:col>21</xdr:col>
      <xdr:colOff>529750</xdr:colOff>
      <xdr:row>16</xdr:row>
      <xdr:rowOff>142881</xdr:rowOff>
    </xdr:to>
    <xdr:sp macro="" textlink="">
      <xdr:nvSpPr>
        <xdr:cNvPr id="123" name="Text Box 16"/>
        <xdr:cNvSpPr txBox="1">
          <a:spLocks noChangeArrowheads="1"/>
        </xdr:cNvSpPr>
      </xdr:nvSpPr>
      <xdr:spPr bwMode="auto">
        <a:xfrm>
          <a:off x="14796727" y="272195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219807</xdr:colOff>
      <xdr:row>10</xdr:row>
      <xdr:rowOff>153866</xdr:rowOff>
    </xdr:from>
    <xdr:to>
      <xdr:col>22</xdr:col>
      <xdr:colOff>16852</xdr:colOff>
      <xdr:row>14</xdr:row>
      <xdr:rowOff>30041</xdr:rowOff>
    </xdr:to>
    <xdr:sp macro="" textlink="">
      <xdr:nvSpPr>
        <xdr:cNvPr id="124" name="AutoShape 15"/>
        <xdr:cNvSpPr>
          <a:spLocks noChangeArrowheads="1"/>
        </xdr:cNvSpPr>
      </xdr:nvSpPr>
      <xdr:spPr bwMode="auto">
        <a:xfrm>
          <a:off x="14741769" y="2000251"/>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11</xdr:row>
      <xdr:rowOff>142889</xdr:rowOff>
    </xdr:from>
    <xdr:to>
      <xdr:col>21</xdr:col>
      <xdr:colOff>529750</xdr:colOff>
      <xdr:row>13</xdr:row>
      <xdr:rowOff>54965</xdr:rowOff>
    </xdr:to>
    <xdr:sp macro="" textlink="">
      <xdr:nvSpPr>
        <xdr:cNvPr id="125" name="Text Box 16"/>
        <xdr:cNvSpPr txBox="1">
          <a:spLocks noChangeArrowheads="1"/>
        </xdr:cNvSpPr>
      </xdr:nvSpPr>
      <xdr:spPr bwMode="auto">
        <a:xfrm>
          <a:off x="14796727" y="215046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219807</xdr:colOff>
      <xdr:row>7</xdr:row>
      <xdr:rowOff>115766</xdr:rowOff>
    </xdr:from>
    <xdr:to>
      <xdr:col>22</xdr:col>
      <xdr:colOff>16852</xdr:colOff>
      <xdr:row>10</xdr:row>
      <xdr:rowOff>144341</xdr:rowOff>
    </xdr:to>
    <xdr:sp macro="" textlink="">
      <xdr:nvSpPr>
        <xdr:cNvPr id="126" name="AutoShape 15"/>
        <xdr:cNvSpPr>
          <a:spLocks noChangeArrowheads="1"/>
        </xdr:cNvSpPr>
      </xdr:nvSpPr>
      <xdr:spPr bwMode="auto">
        <a:xfrm>
          <a:off x="14741769" y="147857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8</xdr:row>
      <xdr:rowOff>98920</xdr:rowOff>
    </xdr:from>
    <xdr:to>
      <xdr:col>21</xdr:col>
      <xdr:colOff>529750</xdr:colOff>
      <xdr:row>10</xdr:row>
      <xdr:rowOff>10996</xdr:rowOff>
    </xdr:to>
    <xdr:sp macro="" textlink="">
      <xdr:nvSpPr>
        <xdr:cNvPr id="127" name="Text Box 16"/>
        <xdr:cNvSpPr txBox="1">
          <a:spLocks noChangeArrowheads="1"/>
        </xdr:cNvSpPr>
      </xdr:nvSpPr>
      <xdr:spPr bwMode="auto">
        <a:xfrm>
          <a:off x="14796727" y="162292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219807</xdr:colOff>
      <xdr:row>4</xdr:row>
      <xdr:rowOff>58616</xdr:rowOff>
    </xdr:from>
    <xdr:to>
      <xdr:col>22</xdr:col>
      <xdr:colOff>16852</xdr:colOff>
      <xdr:row>7</xdr:row>
      <xdr:rowOff>87191</xdr:rowOff>
    </xdr:to>
    <xdr:sp macro="" textlink="">
      <xdr:nvSpPr>
        <xdr:cNvPr id="128" name="AutoShape 15"/>
        <xdr:cNvSpPr>
          <a:spLocks noChangeArrowheads="1"/>
        </xdr:cNvSpPr>
      </xdr:nvSpPr>
      <xdr:spPr bwMode="auto">
        <a:xfrm>
          <a:off x="14741769" y="937847"/>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274764</xdr:colOff>
      <xdr:row>5</xdr:row>
      <xdr:rowOff>40263</xdr:rowOff>
    </xdr:from>
    <xdr:to>
      <xdr:col>21</xdr:col>
      <xdr:colOff>617658</xdr:colOff>
      <xdr:row>6</xdr:row>
      <xdr:rowOff>113568</xdr:rowOff>
    </xdr:to>
    <xdr:sp macro="" textlink="">
      <xdr:nvSpPr>
        <xdr:cNvPr id="129" name="Text Box 16"/>
        <xdr:cNvSpPr txBox="1">
          <a:spLocks noChangeArrowheads="1"/>
        </xdr:cNvSpPr>
      </xdr:nvSpPr>
      <xdr:spPr bwMode="auto">
        <a:xfrm>
          <a:off x="14796726" y="1080686"/>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205156</xdr:colOff>
      <xdr:row>45</xdr:row>
      <xdr:rowOff>142143</xdr:rowOff>
    </xdr:from>
    <xdr:to>
      <xdr:col>22</xdr:col>
      <xdr:colOff>2201</xdr:colOff>
      <xdr:row>49</xdr:row>
      <xdr:rowOff>9525</xdr:rowOff>
    </xdr:to>
    <xdr:sp macro="" textlink="">
      <xdr:nvSpPr>
        <xdr:cNvPr id="130" name="AutoShape 15"/>
        <xdr:cNvSpPr>
          <a:spLocks noChangeArrowheads="1"/>
        </xdr:cNvSpPr>
      </xdr:nvSpPr>
      <xdr:spPr bwMode="auto">
        <a:xfrm>
          <a:off x="14727118" y="7718181"/>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260114</xdr:colOff>
      <xdr:row>46</xdr:row>
      <xdr:rowOff>128228</xdr:rowOff>
    </xdr:from>
    <xdr:to>
      <xdr:col>21</xdr:col>
      <xdr:colOff>515099</xdr:colOff>
      <xdr:row>48</xdr:row>
      <xdr:rowOff>40305</xdr:rowOff>
    </xdr:to>
    <xdr:sp macro="" textlink="">
      <xdr:nvSpPr>
        <xdr:cNvPr id="131" name="Text Box 16"/>
        <xdr:cNvSpPr txBox="1">
          <a:spLocks noChangeArrowheads="1"/>
        </xdr:cNvSpPr>
      </xdr:nvSpPr>
      <xdr:spPr bwMode="auto">
        <a:xfrm>
          <a:off x="14782076" y="7865459"/>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205156</xdr:colOff>
      <xdr:row>42</xdr:row>
      <xdr:rowOff>85725</xdr:rowOff>
    </xdr:from>
    <xdr:to>
      <xdr:col>22</xdr:col>
      <xdr:colOff>2201</xdr:colOff>
      <xdr:row>45</xdr:row>
      <xdr:rowOff>113568</xdr:rowOff>
    </xdr:to>
    <xdr:sp macro="" textlink="">
      <xdr:nvSpPr>
        <xdr:cNvPr id="132" name="AutoShape 15"/>
        <xdr:cNvSpPr>
          <a:spLocks noChangeArrowheads="1"/>
        </xdr:cNvSpPr>
      </xdr:nvSpPr>
      <xdr:spPr bwMode="auto">
        <a:xfrm>
          <a:off x="14727118" y="7178187"/>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260114</xdr:colOff>
      <xdr:row>43</xdr:row>
      <xdr:rowOff>84271</xdr:rowOff>
    </xdr:from>
    <xdr:to>
      <xdr:col>22</xdr:col>
      <xdr:colOff>2201</xdr:colOff>
      <xdr:row>44</xdr:row>
      <xdr:rowOff>128222</xdr:rowOff>
    </xdr:to>
    <xdr:sp macro="" textlink="">
      <xdr:nvSpPr>
        <xdr:cNvPr id="133" name="Text Box 16"/>
        <xdr:cNvSpPr txBox="1">
          <a:spLocks noChangeArrowheads="1"/>
        </xdr:cNvSpPr>
      </xdr:nvSpPr>
      <xdr:spPr bwMode="auto">
        <a:xfrm>
          <a:off x="14782076" y="7337925"/>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205156</xdr:colOff>
      <xdr:row>39</xdr:row>
      <xdr:rowOff>57883</xdr:rowOff>
    </xdr:from>
    <xdr:to>
      <xdr:col>22</xdr:col>
      <xdr:colOff>2201</xdr:colOff>
      <xdr:row>42</xdr:row>
      <xdr:rowOff>57150</xdr:rowOff>
    </xdr:to>
    <xdr:sp macro="" textlink="">
      <xdr:nvSpPr>
        <xdr:cNvPr id="134" name="AutoShape 15"/>
        <xdr:cNvSpPr>
          <a:spLocks noChangeArrowheads="1"/>
        </xdr:cNvSpPr>
      </xdr:nvSpPr>
      <xdr:spPr bwMode="auto">
        <a:xfrm>
          <a:off x="14727118" y="6637460"/>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260114</xdr:colOff>
      <xdr:row>40</xdr:row>
      <xdr:rowOff>40304</xdr:rowOff>
    </xdr:from>
    <xdr:to>
      <xdr:col>21</xdr:col>
      <xdr:colOff>515099</xdr:colOff>
      <xdr:row>41</xdr:row>
      <xdr:rowOff>84265</xdr:rowOff>
    </xdr:to>
    <xdr:sp macro="" textlink="">
      <xdr:nvSpPr>
        <xdr:cNvPr id="135" name="Text Box 16"/>
        <xdr:cNvSpPr txBox="1">
          <a:spLocks noChangeArrowheads="1"/>
        </xdr:cNvSpPr>
      </xdr:nvSpPr>
      <xdr:spPr bwMode="auto">
        <a:xfrm>
          <a:off x="14782076" y="6781073"/>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205156</xdr:colOff>
      <xdr:row>35</xdr:row>
      <xdr:rowOff>124558</xdr:rowOff>
    </xdr:from>
    <xdr:to>
      <xdr:col>22</xdr:col>
      <xdr:colOff>2201</xdr:colOff>
      <xdr:row>39</xdr:row>
      <xdr:rowOff>733</xdr:rowOff>
    </xdr:to>
    <xdr:sp macro="" textlink="">
      <xdr:nvSpPr>
        <xdr:cNvPr id="136" name="AutoShape 15"/>
        <xdr:cNvSpPr>
          <a:spLocks noChangeArrowheads="1"/>
        </xdr:cNvSpPr>
      </xdr:nvSpPr>
      <xdr:spPr bwMode="auto">
        <a:xfrm>
          <a:off x="14727118" y="6059366"/>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260114</xdr:colOff>
      <xdr:row>36</xdr:row>
      <xdr:rowOff>113581</xdr:rowOff>
    </xdr:from>
    <xdr:to>
      <xdr:col>21</xdr:col>
      <xdr:colOff>515099</xdr:colOff>
      <xdr:row>38</xdr:row>
      <xdr:rowOff>25657</xdr:rowOff>
    </xdr:to>
    <xdr:sp macro="" textlink="">
      <xdr:nvSpPr>
        <xdr:cNvPr id="137" name="Text Box 16"/>
        <xdr:cNvSpPr txBox="1">
          <a:spLocks noChangeArrowheads="1"/>
        </xdr:cNvSpPr>
      </xdr:nvSpPr>
      <xdr:spPr bwMode="auto">
        <a:xfrm>
          <a:off x="14782076" y="6209581"/>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205156</xdr:colOff>
      <xdr:row>32</xdr:row>
      <xdr:rowOff>115766</xdr:rowOff>
    </xdr:from>
    <xdr:to>
      <xdr:col>22</xdr:col>
      <xdr:colOff>2201</xdr:colOff>
      <xdr:row>35</xdr:row>
      <xdr:rowOff>115033</xdr:rowOff>
    </xdr:to>
    <xdr:sp macro="" textlink="">
      <xdr:nvSpPr>
        <xdr:cNvPr id="138" name="AutoShape 15"/>
        <xdr:cNvSpPr>
          <a:spLocks noChangeArrowheads="1"/>
        </xdr:cNvSpPr>
      </xdr:nvSpPr>
      <xdr:spPr bwMode="auto">
        <a:xfrm>
          <a:off x="14727118" y="5537689"/>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260114</xdr:colOff>
      <xdr:row>33</xdr:row>
      <xdr:rowOff>98920</xdr:rowOff>
    </xdr:from>
    <xdr:to>
      <xdr:col>21</xdr:col>
      <xdr:colOff>515099</xdr:colOff>
      <xdr:row>34</xdr:row>
      <xdr:rowOff>172188</xdr:rowOff>
    </xdr:to>
    <xdr:sp macro="" textlink="">
      <xdr:nvSpPr>
        <xdr:cNvPr id="139" name="Text Box 16"/>
        <xdr:cNvSpPr txBox="1">
          <a:spLocks noChangeArrowheads="1"/>
        </xdr:cNvSpPr>
      </xdr:nvSpPr>
      <xdr:spPr bwMode="auto">
        <a:xfrm>
          <a:off x="14782076" y="5682035"/>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205156</xdr:colOff>
      <xdr:row>29</xdr:row>
      <xdr:rowOff>87924</xdr:rowOff>
    </xdr:from>
    <xdr:to>
      <xdr:col>22</xdr:col>
      <xdr:colOff>2201</xdr:colOff>
      <xdr:row>32</xdr:row>
      <xdr:rowOff>87191</xdr:rowOff>
    </xdr:to>
    <xdr:sp macro="" textlink="">
      <xdr:nvSpPr>
        <xdr:cNvPr id="140" name="AutoShape 15"/>
        <xdr:cNvSpPr>
          <a:spLocks noChangeArrowheads="1"/>
        </xdr:cNvSpPr>
      </xdr:nvSpPr>
      <xdr:spPr bwMode="auto">
        <a:xfrm>
          <a:off x="14727118" y="499696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260113</xdr:colOff>
      <xdr:row>30</xdr:row>
      <xdr:rowOff>69570</xdr:rowOff>
    </xdr:from>
    <xdr:to>
      <xdr:col>21</xdr:col>
      <xdr:colOff>603007</xdr:colOff>
      <xdr:row>31</xdr:row>
      <xdr:rowOff>142875</xdr:rowOff>
    </xdr:to>
    <xdr:sp macro="" textlink="">
      <xdr:nvSpPr>
        <xdr:cNvPr id="141" name="Text Box 16"/>
        <xdr:cNvSpPr txBox="1">
          <a:spLocks noChangeArrowheads="1"/>
        </xdr:cNvSpPr>
      </xdr:nvSpPr>
      <xdr:spPr bwMode="auto">
        <a:xfrm>
          <a:off x="14782075" y="5139801"/>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5</xdr:col>
      <xdr:colOff>674073</xdr:colOff>
      <xdr:row>71</xdr:row>
      <xdr:rowOff>39566</xdr:rowOff>
    </xdr:from>
    <xdr:to>
      <xdr:col>7</xdr:col>
      <xdr:colOff>16848</xdr:colOff>
      <xdr:row>74</xdr:row>
      <xdr:rowOff>68141</xdr:rowOff>
    </xdr:to>
    <xdr:sp macro="" textlink="">
      <xdr:nvSpPr>
        <xdr:cNvPr id="142" name="AutoShape 15"/>
        <xdr:cNvSpPr>
          <a:spLocks noChangeArrowheads="1"/>
        </xdr:cNvSpPr>
      </xdr:nvSpPr>
      <xdr:spPr bwMode="auto">
        <a:xfrm>
          <a:off x="4469419" y="11806604"/>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72</xdr:row>
      <xdr:rowOff>25651</xdr:rowOff>
    </xdr:from>
    <xdr:to>
      <xdr:col>6</xdr:col>
      <xdr:colOff>427169</xdr:colOff>
      <xdr:row>73</xdr:row>
      <xdr:rowOff>98920</xdr:rowOff>
    </xdr:to>
    <xdr:sp macro="" textlink="">
      <xdr:nvSpPr>
        <xdr:cNvPr id="143" name="Text Box 16"/>
        <xdr:cNvSpPr txBox="1">
          <a:spLocks noChangeArrowheads="1"/>
        </xdr:cNvSpPr>
      </xdr:nvSpPr>
      <xdr:spPr bwMode="auto">
        <a:xfrm>
          <a:off x="4524377" y="11953882"/>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5</xdr:col>
      <xdr:colOff>674073</xdr:colOff>
      <xdr:row>67</xdr:row>
      <xdr:rowOff>144341</xdr:rowOff>
    </xdr:from>
    <xdr:to>
      <xdr:col>7</xdr:col>
      <xdr:colOff>16848</xdr:colOff>
      <xdr:row>71</xdr:row>
      <xdr:rowOff>10991</xdr:rowOff>
    </xdr:to>
    <xdr:sp macro="" textlink="">
      <xdr:nvSpPr>
        <xdr:cNvPr id="144" name="AutoShape 15"/>
        <xdr:cNvSpPr>
          <a:spLocks noChangeArrowheads="1"/>
        </xdr:cNvSpPr>
      </xdr:nvSpPr>
      <xdr:spPr bwMode="auto">
        <a:xfrm>
          <a:off x="4469419" y="11266610"/>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68</xdr:row>
      <xdr:rowOff>142886</xdr:rowOff>
    </xdr:from>
    <xdr:to>
      <xdr:col>7</xdr:col>
      <xdr:colOff>16848</xdr:colOff>
      <xdr:row>70</xdr:row>
      <xdr:rowOff>25645</xdr:rowOff>
    </xdr:to>
    <xdr:sp macro="" textlink="">
      <xdr:nvSpPr>
        <xdr:cNvPr id="145" name="Text Box 16"/>
        <xdr:cNvSpPr txBox="1">
          <a:spLocks noChangeArrowheads="1"/>
        </xdr:cNvSpPr>
      </xdr:nvSpPr>
      <xdr:spPr bwMode="auto">
        <a:xfrm>
          <a:off x="4524377" y="11426348"/>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5</xdr:col>
      <xdr:colOff>674073</xdr:colOff>
      <xdr:row>64</xdr:row>
      <xdr:rowOff>87191</xdr:rowOff>
    </xdr:from>
    <xdr:to>
      <xdr:col>7</xdr:col>
      <xdr:colOff>16848</xdr:colOff>
      <xdr:row>67</xdr:row>
      <xdr:rowOff>115766</xdr:rowOff>
    </xdr:to>
    <xdr:sp macro="" textlink="">
      <xdr:nvSpPr>
        <xdr:cNvPr id="146" name="AutoShape 15"/>
        <xdr:cNvSpPr>
          <a:spLocks noChangeArrowheads="1"/>
        </xdr:cNvSpPr>
      </xdr:nvSpPr>
      <xdr:spPr bwMode="auto">
        <a:xfrm>
          <a:off x="4469419" y="10725883"/>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65</xdr:row>
      <xdr:rowOff>69611</xdr:rowOff>
    </xdr:from>
    <xdr:to>
      <xdr:col>6</xdr:col>
      <xdr:colOff>427169</xdr:colOff>
      <xdr:row>66</xdr:row>
      <xdr:rowOff>142880</xdr:rowOff>
    </xdr:to>
    <xdr:sp macro="" textlink="">
      <xdr:nvSpPr>
        <xdr:cNvPr id="147" name="Text Box 16"/>
        <xdr:cNvSpPr txBox="1">
          <a:spLocks noChangeArrowheads="1"/>
        </xdr:cNvSpPr>
      </xdr:nvSpPr>
      <xdr:spPr bwMode="auto">
        <a:xfrm>
          <a:off x="4524377" y="10869496"/>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5</xdr:col>
      <xdr:colOff>674073</xdr:colOff>
      <xdr:row>60</xdr:row>
      <xdr:rowOff>153866</xdr:rowOff>
    </xdr:from>
    <xdr:to>
      <xdr:col>7</xdr:col>
      <xdr:colOff>16848</xdr:colOff>
      <xdr:row>64</xdr:row>
      <xdr:rowOff>30041</xdr:rowOff>
    </xdr:to>
    <xdr:sp macro="" textlink="">
      <xdr:nvSpPr>
        <xdr:cNvPr id="148" name="AutoShape 15"/>
        <xdr:cNvSpPr>
          <a:spLocks noChangeArrowheads="1"/>
        </xdr:cNvSpPr>
      </xdr:nvSpPr>
      <xdr:spPr bwMode="auto">
        <a:xfrm>
          <a:off x="4469419" y="10147789"/>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61</xdr:row>
      <xdr:rowOff>142889</xdr:rowOff>
    </xdr:from>
    <xdr:to>
      <xdr:col>6</xdr:col>
      <xdr:colOff>427169</xdr:colOff>
      <xdr:row>63</xdr:row>
      <xdr:rowOff>54965</xdr:rowOff>
    </xdr:to>
    <xdr:sp macro="" textlink="">
      <xdr:nvSpPr>
        <xdr:cNvPr id="149" name="Text Box 16"/>
        <xdr:cNvSpPr txBox="1">
          <a:spLocks noChangeArrowheads="1"/>
        </xdr:cNvSpPr>
      </xdr:nvSpPr>
      <xdr:spPr bwMode="auto">
        <a:xfrm>
          <a:off x="4524377" y="1029800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5</xdr:col>
      <xdr:colOff>674073</xdr:colOff>
      <xdr:row>57</xdr:row>
      <xdr:rowOff>115766</xdr:rowOff>
    </xdr:from>
    <xdr:to>
      <xdr:col>7</xdr:col>
      <xdr:colOff>16848</xdr:colOff>
      <xdr:row>60</xdr:row>
      <xdr:rowOff>144341</xdr:rowOff>
    </xdr:to>
    <xdr:sp macro="" textlink="">
      <xdr:nvSpPr>
        <xdr:cNvPr id="150" name="AutoShape 15"/>
        <xdr:cNvSpPr>
          <a:spLocks noChangeArrowheads="1"/>
        </xdr:cNvSpPr>
      </xdr:nvSpPr>
      <xdr:spPr bwMode="auto">
        <a:xfrm>
          <a:off x="4469419" y="9626112"/>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729031</xdr:colOff>
      <xdr:row>58</xdr:row>
      <xdr:rowOff>98920</xdr:rowOff>
    </xdr:from>
    <xdr:to>
      <xdr:col>6</xdr:col>
      <xdr:colOff>427169</xdr:colOff>
      <xdr:row>60</xdr:row>
      <xdr:rowOff>10996</xdr:rowOff>
    </xdr:to>
    <xdr:sp macro="" textlink="">
      <xdr:nvSpPr>
        <xdr:cNvPr id="151" name="Text Box 16"/>
        <xdr:cNvSpPr txBox="1">
          <a:spLocks noChangeArrowheads="1"/>
        </xdr:cNvSpPr>
      </xdr:nvSpPr>
      <xdr:spPr bwMode="auto">
        <a:xfrm>
          <a:off x="4524377" y="977045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5</xdr:col>
      <xdr:colOff>674073</xdr:colOff>
      <xdr:row>54</xdr:row>
      <xdr:rowOff>58616</xdr:rowOff>
    </xdr:from>
    <xdr:to>
      <xdr:col>7</xdr:col>
      <xdr:colOff>16848</xdr:colOff>
      <xdr:row>57</xdr:row>
      <xdr:rowOff>87191</xdr:rowOff>
    </xdr:to>
    <xdr:sp macro="" textlink="">
      <xdr:nvSpPr>
        <xdr:cNvPr id="152" name="AutoShape 15"/>
        <xdr:cNvSpPr>
          <a:spLocks noChangeArrowheads="1"/>
        </xdr:cNvSpPr>
      </xdr:nvSpPr>
      <xdr:spPr bwMode="auto">
        <a:xfrm>
          <a:off x="4469419" y="9085385"/>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729030</xdr:colOff>
      <xdr:row>55</xdr:row>
      <xdr:rowOff>40262</xdr:rowOff>
    </xdr:from>
    <xdr:to>
      <xdr:col>6</xdr:col>
      <xdr:colOff>515077</xdr:colOff>
      <xdr:row>56</xdr:row>
      <xdr:rowOff>113567</xdr:rowOff>
    </xdr:to>
    <xdr:sp macro="" textlink="">
      <xdr:nvSpPr>
        <xdr:cNvPr id="153" name="Text Box 16"/>
        <xdr:cNvSpPr txBox="1">
          <a:spLocks noChangeArrowheads="1"/>
        </xdr:cNvSpPr>
      </xdr:nvSpPr>
      <xdr:spPr bwMode="auto">
        <a:xfrm>
          <a:off x="4524376" y="9228224"/>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twoCellAnchor>
    <xdr:from>
      <xdr:col>20</xdr:col>
      <xdr:colOff>219808</xdr:colOff>
      <xdr:row>71</xdr:row>
      <xdr:rowOff>24912</xdr:rowOff>
    </xdr:from>
    <xdr:to>
      <xdr:col>22</xdr:col>
      <xdr:colOff>16853</xdr:colOff>
      <xdr:row>74</xdr:row>
      <xdr:rowOff>53487</xdr:rowOff>
    </xdr:to>
    <xdr:sp macro="" textlink="">
      <xdr:nvSpPr>
        <xdr:cNvPr id="154" name="AutoShape 15"/>
        <xdr:cNvSpPr>
          <a:spLocks noChangeArrowheads="1"/>
        </xdr:cNvSpPr>
      </xdr:nvSpPr>
      <xdr:spPr bwMode="auto">
        <a:xfrm>
          <a:off x="14741770" y="11791950"/>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274766</xdr:colOff>
      <xdr:row>72</xdr:row>
      <xdr:rowOff>10997</xdr:rowOff>
    </xdr:from>
    <xdr:to>
      <xdr:col>21</xdr:col>
      <xdr:colOff>529751</xdr:colOff>
      <xdr:row>73</xdr:row>
      <xdr:rowOff>84266</xdr:rowOff>
    </xdr:to>
    <xdr:sp macro="" textlink="">
      <xdr:nvSpPr>
        <xdr:cNvPr id="155" name="Text Box 16"/>
        <xdr:cNvSpPr txBox="1">
          <a:spLocks noChangeArrowheads="1"/>
        </xdr:cNvSpPr>
      </xdr:nvSpPr>
      <xdr:spPr bwMode="auto">
        <a:xfrm>
          <a:off x="14796728" y="11939228"/>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BASIS=E6</a:t>
          </a:r>
          <a:endParaRPr lang="nl-NL" sz="800"/>
        </a:p>
      </xdr:txBody>
    </xdr:sp>
    <xdr:clientData/>
  </xdr:twoCellAnchor>
  <xdr:twoCellAnchor>
    <xdr:from>
      <xdr:col>20</xdr:col>
      <xdr:colOff>219808</xdr:colOff>
      <xdr:row>67</xdr:row>
      <xdr:rowOff>129687</xdr:rowOff>
    </xdr:from>
    <xdr:to>
      <xdr:col>22</xdr:col>
      <xdr:colOff>16853</xdr:colOff>
      <xdr:row>70</xdr:row>
      <xdr:rowOff>157529</xdr:rowOff>
    </xdr:to>
    <xdr:sp macro="" textlink="">
      <xdr:nvSpPr>
        <xdr:cNvPr id="156" name="AutoShape 15"/>
        <xdr:cNvSpPr>
          <a:spLocks noChangeArrowheads="1"/>
        </xdr:cNvSpPr>
      </xdr:nvSpPr>
      <xdr:spPr bwMode="auto">
        <a:xfrm>
          <a:off x="14741770" y="11251956"/>
          <a:ext cx="1159852" cy="511419"/>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274766</xdr:colOff>
      <xdr:row>68</xdr:row>
      <xdr:rowOff>128232</xdr:rowOff>
    </xdr:from>
    <xdr:to>
      <xdr:col>22</xdr:col>
      <xdr:colOff>16853</xdr:colOff>
      <xdr:row>70</xdr:row>
      <xdr:rowOff>10991</xdr:rowOff>
    </xdr:to>
    <xdr:sp macro="" textlink="">
      <xdr:nvSpPr>
        <xdr:cNvPr id="157" name="Text Box 16"/>
        <xdr:cNvSpPr txBox="1">
          <a:spLocks noChangeArrowheads="1"/>
        </xdr:cNvSpPr>
      </xdr:nvSpPr>
      <xdr:spPr bwMode="auto">
        <a:xfrm>
          <a:off x="14796728" y="11411694"/>
          <a:ext cx="1104894" cy="205143"/>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BASIS/KADER=M7</a:t>
          </a:r>
          <a:endParaRPr lang="nl-NL" sz="800"/>
        </a:p>
      </xdr:txBody>
    </xdr:sp>
    <xdr:clientData/>
  </xdr:twoCellAnchor>
  <xdr:twoCellAnchor>
    <xdr:from>
      <xdr:col>20</xdr:col>
      <xdr:colOff>219808</xdr:colOff>
      <xdr:row>64</xdr:row>
      <xdr:rowOff>72537</xdr:rowOff>
    </xdr:from>
    <xdr:to>
      <xdr:col>22</xdr:col>
      <xdr:colOff>16853</xdr:colOff>
      <xdr:row>67</xdr:row>
      <xdr:rowOff>101112</xdr:rowOff>
    </xdr:to>
    <xdr:sp macro="" textlink="">
      <xdr:nvSpPr>
        <xdr:cNvPr id="158" name="AutoShape 15"/>
        <xdr:cNvSpPr>
          <a:spLocks noChangeArrowheads="1"/>
        </xdr:cNvSpPr>
      </xdr:nvSpPr>
      <xdr:spPr bwMode="auto">
        <a:xfrm>
          <a:off x="14741770" y="10711229"/>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274766</xdr:colOff>
      <xdr:row>65</xdr:row>
      <xdr:rowOff>54957</xdr:rowOff>
    </xdr:from>
    <xdr:to>
      <xdr:col>21</xdr:col>
      <xdr:colOff>529751</xdr:colOff>
      <xdr:row>66</xdr:row>
      <xdr:rowOff>128226</xdr:rowOff>
    </xdr:to>
    <xdr:sp macro="" textlink="">
      <xdr:nvSpPr>
        <xdr:cNvPr id="159" name="Text Box 16"/>
        <xdr:cNvSpPr txBox="1">
          <a:spLocks noChangeArrowheads="1"/>
        </xdr:cNvSpPr>
      </xdr:nvSpPr>
      <xdr:spPr bwMode="auto">
        <a:xfrm>
          <a:off x="14796728" y="10854842"/>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KADER/TL=E7</a:t>
          </a:r>
          <a:endParaRPr lang="nl-NL" sz="800"/>
        </a:p>
      </xdr:txBody>
    </xdr:sp>
    <xdr:clientData/>
  </xdr:twoCellAnchor>
  <xdr:twoCellAnchor>
    <xdr:from>
      <xdr:col>20</xdr:col>
      <xdr:colOff>219808</xdr:colOff>
      <xdr:row>60</xdr:row>
      <xdr:rowOff>139212</xdr:rowOff>
    </xdr:from>
    <xdr:to>
      <xdr:col>22</xdr:col>
      <xdr:colOff>16853</xdr:colOff>
      <xdr:row>64</xdr:row>
      <xdr:rowOff>15387</xdr:rowOff>
    </xdr:to>
    <xdr:sp macro="" textlink="">
      <xdr:nvSpPr>
        <xdr:cNvPr id="160" name="AutoShape 15"/>
        <xdr:cNvSpPr>
          <a:spLocks noChangeArrowheads="1"/>
        </xdr:cNvSpPr>
      </xdr:nvSpPr>
      <xdr:spPr bwMode="auto">
        <a:xfrm>
          <a:off x="14741770" y="10133135"/>
          <a:ext cx="1159852" cy="520944"/>
        </a:xfrm>
        <a:prstGeom prst="rightArrow">
          <a:avLst>
            <a:gd name="adj1" fmla="val 50000"/>
            <a:gd name="adj2" fmla="val 444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274766</xdr:colOff>
      <xdr:row>61</xdr:row>
      <xdr:rowOff>128235</xdr:rowOff>
    </xdr:from>
    <xdr:to>
      <xdr:col>21</xdr:col>
      <xdr:colOff>529751</xdr:colOff>
      <xdr:row>63</xdr:row>
      <xdr:rowOff>40311</xdr:rowOff>
    </xdr:to>
    <xdr:sp macro="" textlink="">
      <xdr:nvSpPr>
        <xdr:cNvPr id="161" name="Text Box 16"/>
        <xdr:cNvSpPr txBox="1">
          <a:spLocks noChangeArrowheads="1"/>
        </xdr:cNvSpPr>
      </xdr:nvSpPr>
      <xdr:spPr bwMode="auto">
        <a:xfrm>
          <a:off x="14796728" y="10283350"/>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TL/HAVO=M8</a:t>
          </a:r>
          <a:endParaRPr lang="nl-NL" sz="800"/>
        </a:p>
      </xdr:txBody>
    </xdr:sp>
    <xdr:clientData/>
  </xdr:twoCellAnchor>
  <xdr:twoCellAnchor>
    <xdr:from>
      <xdr:col>20</xdr:col>
      <xdr:colOff>219808</xdr:colOff>
      <xdr:row>57</xdr:row>
      <xdr:rowOff>101112</xdr:rowOff>
    </xdr:from>
    <xdr:to>
      <xdr:col>22</xdr:col>
      <xdr:colOff>16853</xdr:colOff>
      <xdr:row>60</xdr:row>
      <xdr:rowOff>129687</xdr:rowOff>
    </xdr:to>
    <xdr:sp macro="" textlink="">
      <xdr:nvSpPr>
        <xdr:cNvPr id="162" name="AutoShape 15"/>
        <xdr:cNvSpPr>
          <a:spLocks noChangeArrowheads="1"/>
        </xdr:cNvSpPr>
      </xdr:nvSpPr>
      <xdr:spPr bwMode="auto">
        <a:xfrm>
          <a:off x="14741770" y="9611458"/>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274766</xdr:colOff>
      <xdr:row>58</xdr:row>
      <xdr:rowOff>84266</xdr:rowOff>
    </xdr:from>
    <xdr:to>
      <xdr:col>21</xdr:col>
      <xdr:colOff>529751</xdr:colOff>
      <xdr:row>59</xdr:row>
      <xdr:rowOff>157534</xdr:rowOff>
    </xdr:to>
    <xdr:sp macro="" textlink="">
      <xdr:nvSpPr>
        <xdr:cNvPr id="163" name="Text Box 16"/>
        <xdr:cNvSpPr txBox="1">
          <a:spLocks noChangeArrowheads="1"/>
        </xdr:cNvSpPr>
      </xdr:nvSpPr>
      <xdr:spPr bwMode="auto">
        <a:xfrm>
          <a:off x="14796728" y="9755804"/>
          <a:ext cx="899754" cy="234461"/>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HAVO/VWO=E8</a:t>
          </a:r>
          <a:endParaRPr lang="nl-NL" sz="800"/>
        </a:p>
      </xdr:txBody>
    </xdr:sp>
    <xdr:clientData/>
  </xdr:twoCellAnchor>
  <xdr:twoCellAnchor>
    <xdr:from>
      <xdr:col>20</xdr:col>
      <xdr:colOff>219808</xdr:colOff>
      <xdr:row>54</xdr:row>
      <xdr:rowOff>43962</xdr:rowOff>
    </xdr:from>
    <xdr:to>
      <xdr:col>22</xdr:col>
      <xdr:colOff>16853</xdr:colOff>
      <xdr:row>57</xdr:row>
      <xdr:rowOff>72537</xdr:rowOff>
    </xdr:to>
    <xdr:sp macro="" textlink="">
      <xdr:nvSpPr>
        <xdr:cNvPr id="164" name="AutoShape 15"/>
        <xdr:cNvSpPr>
          <a:spLocks noChangeArrowheads="1"/>
        </xdr:cNvSpPr>
      </xdr:nvSpPr>
      <xdr:spPr bwMode="auto">
        <a:xfrm>
          <a:off x="14741770" y="9070731"/>
          <a:ext cx="1159852" cy="512152"/>
        </a:xfrm>
        <a:prstGeom prst="rightArrow">
          <a:avLst>
            <a:gd name="adj1" fmla="val 50000"/>
            <a:gd name="adj2" fmla="val 4523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20</xdr:col>
      <xdr:colOff>274765</xdr:colOff>
      <xdr:row>55</xdr:row>
      <xdr:rowOff>25608</xdr:rowOff>
    </xdr:from>
    <xdr:to>
      <xdr:col>21</xdr:col>
      <xdr:colOff>617659</xdr:colOff>
      <xdr:row>56</xdr:row>
      <xdr:rowOff>98913</xdr:rowOff>
    </xdr:to>
    <xdr:sp macro="" textlink="">
      <xdr:nvSpPr>
        <xdr:cNvPr id="165" name="Text Box 16"/>
        <xdr:cNvSpPr txBox="1">
          <a:spLocks noChangeArrowheads="1"/>
        </xdr:cNvSpPr>
      </xdr:nvSpPr>
      <xdr:spPr bwMode="auto">
        <a:xfrm>
          <a:off x="14796727" y="9213570"/>
          <a:ext cx="987663" cy="23449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800" b="0" i="0" u="none" strike="noStrike" baseline="0">
              <a:solidFill>
                <a:srgbClr val="000000"/>
              </a:solidFill>
              <a:latin typeface="Comic Sans MS"/>
            </a:rPr>
            <a:t>VWO / GYM = E8+</a:t>
          </a:r>
          <a:endParaRPr lang="nl-NL" sz="800"/>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190500</xdr:colOff>
      <xdr:row>9</xdr:row>
      <xdr:rowOff>95250</xdr:rowOff>
    </xdr:from>
    <xdr:to>
      <xdr:col>4</xdr:col>
      <xdr:colOff>1143000</xdr:colOff>
      <xdr:row>14</xdr:row>
      <xdr:rowOff>57150</xdr:rowOff>
    </xdr:to>
    <xdr:sp macro="" textlink="">
      <xdr:nvSpPr>
        <xdr:cNvPr id="203212" name="AutoShape 3"/>
        <xdr:cNvSpPr>
          <a:spLocks noChangeArrowheads="1"/>
        </xdr:cNvSpPr>
      </xdr:nvSpPr>
      <xdr:spPr bwMode="auto">
        <a:xfrm>
          <a:off x="2124075" y="1781175"/>
          <a:ext cx="1562100" cy="771525"/>
        </a:xfrm>
        <a:prstGeom prst="rightArrow">
          <a:avLst>
            <a:gd name="adj1" fmla="val 50000"/>
            <a:gd name="adj2" fmla="val 5061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219075</xdr:colOff>
      <xdr:row>11</xdr:row>
      <xdr:rowOff>38100</xdr:rowOff>
    </xdr:from>
    <xdr:to>
      <xdr:col>4</xdr:col>
      <xdr:colOff>990600</xdr:colOff>
      <xdr:row>12</xdr:row>
      <xdr:rowOff>123825</xdr:rowOff>
    </xdr:to>
    <xdr:sp macro="" textlink="">
      <xdr:nvSpPr>
        <xdr:cNvPr id="202756" name="Text Box 4"/>
        <xdr:cNvSpPr txBox="1">
          <a:spLocks noChangeArrowheads="1"/>
        </xdr:cNvSpPr>
      </xdr:nvSpPr>
      <xdr:spPr bwMode="auto">
        <a:xfrm>
          <a:off x="2152650" y="2047875"/>
          <a:ext cx="13811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190500</xdr:colOff>
      <xdr:row>14</xdr:row>
      <xdr:rowOff>142875</xdr:rowOff>
    </xdr:from>
    <xdr:to>
      <xdr:col>4</xdr:col>
      <xdr:colOff>1143000</xdr:colOff>
      <xdr:row>19</xdr:row>
      <xdr:rowOff>104775</xdr:rowOff>
    </xdr:to>
    <xdr:sp macro="" textlink="">
      <xdr:nvSpPr>
        <xdr:cNvPr id="203214" name="AutoShape 5"/>
        <xdr:cNvSpPr>
          <a:spLocks noChangeArrowheads="1"/>
        </xdr:cNvSpPr>
      </xdr:nvSpPr>
      <xdr:spPr bwMode="auto">
        <a:xfrm>
          <a:off x="2124075" y="2638425"/>
          <a:ext cx="1562100" cy="771525"/>
        </a:xfrm>
        <a:prstGeom prst="rightArrow">
          <a:avLst>
            <a:gd name="adj1" fmla="val 50000"/>
            <a:gd name="adj2" fmla="val 5061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247650</xdr:colOff>
      <xdr:row>16</xdr:row>
      <xdr:rowOff>57150</xdr:rowOff>
    </xdr:from>
    <xdr:to>
      <xdr:col>4</xdr:col>
      <xdr:colOff>952500</xdr:colOff>
      <xdr:row>18</xdr:row>
      <xdr:rowOff>9525</xdr:rowOff>
    </xdr:to>
    <xdr:sp macro="" textlink="">
      <xdr:nvSpPr>
        <xdr:cNvPr id="202758" name="Text Box 6"/>
        <xdr:cNvSpPr txBox="1">
          <a:spLocks noChangeArrowheads="1"/>
        </xdr:cNvSpPr>
      </xdr:nvSpPr>
      <xdr:spPr bwMode="auto">
        <a:xfrm>
          <a:off x="2181225" y="2876550"/>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190500</xdr:colOff>
      <xdr:row>20</xdr:row>
      <xdr:rowOff>47625</xdr:rowOff>
    </xdr:from>
    <xdr:to>
      <xdr:col>4</xdr:col>
      <xdr:colOff>1143000</xdr:colOff>
      <xdr:row>25</xdr:row>
      <xdr:rowOff>38100</xdr:rowOff>
    </xdr:to>
    <xdr:sp macro="" textlink="">
      <xdr:nvSpPr>
        <xdr:cNvPr id="203216" name="AutoShape 7"/>
        <xdr:cNvSpPr>
          <a:spLocks noChangeArrowheads="1"/>
        </xdr:cNvSpPr>
      </xdr:nvSpPr>
      <xdr:spPr bwMode="auto">
        <a:xfrm>
          <a:off x="2124075" y="35147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247650</xdr:colOff>
      <xdr:row>21</xdr:row>
      <xdr:rowOff>142875</xdr:rowOff>
    </xdr:from>
    <xdr:to>
      <xdr:col>4</xdr:col>
      <xdr:colOff>1095375</xdr:colOff>
      <xdr:row>23</xdr:row>
      <xdr:rowOff>114300</xdr:rowOff>
    </xdr:to>
    <xdr:sp macro="" textlink="">
      <xdr:nvSpPr>
        <xdr:cNvPr id="202760" name="Text Box 8"/>
        <xdr:cNvSpPr txBox="1">
          <a:spLocks noChangeArrowheads="1"/>
        </xdr:cNvSpPr>
      </xdr:nvSpPr>
      <xdr:spPr bwMode="auto">
        <a:xfrm>
          <a:off x="2181225" y="377190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190500</xdr:colOff>
      <xdr:row>25</xdr:row>
      <xdr:rowOff>114300</xdr:rowOff>
    </xdr:from>
    <xdr:to>
      <xdr:col>4</xdr:col>
      <xdr:colOff>1143000</xdr:colOff>
      <xdr:row>30</xdr:row>
      <xdr:rowOff>104775</xdr:rowOff>
    </xdr:to>
    <xdr:sp macro="" textlink="">
      <xdr:nvSpPr>
        <xdr:cNvPr id="203218" name="AutoShape 9"/>
        <xdr:cNvSpPr>
          <a:spLocks noChangeArrowheads="1"/>
        </xdr:cNvSpPr>
      </xdr:nvSpPr>
      <xdr:spPr bwMode="auto">
        <a:xfrm>
          <a:off x="2124075" y="43910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27</xdr:row>
      <xdr:rowOff>57150</xdr:rowOff>
    </xdr:from>
    <xdr:to>
      <xdr:col>5</xdr:col>
      <xdr:colOff>19050</xdr:colOff>
      <xdr:row>29</xdr:row>
      <xdr:rowOff>9525</xdr:rowOff>
    </xdr:to>
    <xdr:sp macro="" textlink="">
      <xdr:nvSpPr>
        <xdr:cNvPr id="202762" name="Text Box 10"/>
        <xdr:cNvSpPr txBox="1">
          <a:spLocks noChangeArrowheads="1"/>
        </xdr:cNvSpPr>
      </xdr:nvSpPr>
      <xdr:spPr bwMode="auto">
        <a:xfrm>
          <a:off x="2143125" y="4657725"/>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190500</xdr:colOff>
      <xdr:row>31</xdr:row>
      <xdr:rowOff>28575</xdr:rowOff>
    </xdr:from>
    <xdr:to>
      <xdr:col>4</xdr:col>
      <xdr:colOff>1143000</xdr:colOff>
      <xdr:row>35</xdr:row>
      <xdr:rowOff>152400</xdr:rowOff>
    </xdr:to>
    <xdr:sp macro="" textlink="">
      <xdr:nvSpPr>
        <xdr:cNvPr id="203220" name="AutoShape 11"/>
        <xdr:cNvSpPr>
          <a:spLocks noChangeArrowheads="1"/>
        </xdr:cNvSpPr>
      </xdr:nvSpPr>
      <xdr:spPr bwMode="auto">
        <a:xfrm>
          <a:off x="2124075" y="5276850"/>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238125</xdr:colOff>
      <xdr:row>32</xdr:row>
      <xdr:rowOff>142875</xdr:rowOff>
    </xdr:from>
    <xdr:to>
      <xdr:col>4</xdr:col>
      <xdr:colOff>676275</xdr:colOff>
      <xdr:row>34</xdr:row>
      <xdr:rowOff>95250</xdr:rowOff>
    </xdr:to>
    <xdr:sp macro="" textlink="">
      <xdr:nvSpPr>
        <xdr:cNvPr id="202764" name="Text Box 12"/>
        <xdr:cNvSpPr txBox="1">
          <a:spLocks noChangeArrowheads="1"/>
        </xdr:cNvSpPr>
      </xdr:nvSpPr>
      <xdr:spPr bwMode="auto">
        <a:xfrm>
          <a:off x="2171700" y="5553075"/>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190500</xdr:colOff>
      <xdr:row>4</xdr:row>
      <xdr:rowOff>47625</xdr:rowOff>
    </xdr:from>
    <xdr:to>
      <xdr:col>4</xdr:col>
      <xdr:colOff>1143000</xdr:colOff>
      <xdr:row>9</xdr:row>
      <xdr:rowOff>38100</xdr:rowOff>
    </xdr:to>
    <xdr:sp macro="" textlink="">
      <xdr:nvSpPr>
        <xdr:cNvPr id="203222" name="AutoShape 13"/>
        <xdr:cNvSpPr>
          <a:spLocks noChangeArrowheads="1"/>
        </xdr:cNvSpPr>
      </xdr:nvSpPr>
      <xdr:spPr bwMode="auto">
        <a:xfrm>
          <a:off x="2124075" y="9239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5</xdr:row>
      <xdr:rowOff>152400</xdr:rowOff>
    </xdr:from>
    <xdr:to>
      <xdr:col>4</xdr:col>
      <xdr:colOff>1000125</xdr:colOff>
      <xdr:row>7</xdr:row>
      <xdr:rowOff>104775</xdr:rowOff>
    </xdr:to>
    <xdr:sp macro="" textlink="">
      <xdr:nvSpPr>
        <xdr:cNvPr id="202766" name="Text Box 14"/>
        <xdr:cNvSpPr txBox="1">
          <a:spLocks noChangeArrowheads="1"/>
        </xdr:cNvSpPr>
      </xdr:nvSpPr>
      <xdr:spPr bwMode="auto">
        <a:xfrm>
          <a:off x="2162175" y="119062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2</xdr:col>
      <xdr:colOff>123825</xdr:colOff>
      <xdr:row>0</xdr:row>
      <xdr:rowOff>123825</xdr:rowOff>
    </xdr:from>
    <xdr:to>
      <xdr:col>4</xdr:col>
      <xdr:colOff>1133475</xdr:colOff>
      <xdr:row>2</xdr:row>
      <xdr:rowOff>38100</xdr:rowOff>
    </xdr:to>
    <xdr:sp macro="" textlink="">
      <xdr:nvSpPr>
        <xdr:cNvPr id="202768" name="AutoShape 16"/>
        <xdr:cNvSpPr>
          <a:spLocks noChangeArrowheads="1"/>
        </xdr:cNvSpPr>
      </xdr:nvSpPr>
      <xdr:spPr bwMode="auto">
        <a:xfrm>
          <a:off x="1790700" y="123825"/>
          <a:ext cx="1885950" cy="342900"/>
        </a:xfrm>
        <a:prstGeom prst="wedgeRectCallout">
          <a:avLst>
            <a:gd name="adj1" fmla="val 59597"/>
            <a:gd name="adj2" fmla="val 113889"/>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5</xdr:col>
      <xdr:colOff>0</xdr:colOff>
      <xdr:row>5</xdr:row>
      <xdr:rowOff>114300</xdr:rowOff>
    </xdr:from>
    <xdr:to>
      <xdr:col>18</xdr:col>
      <xdr:colOff>0</xdr:colOff>
      <xdr:row>41</xdr:row>
      <xdr:rowOff>66675</xdr:rowOff>
    </xdr:to>
    <xdr:graphicFrame macro="">
      <xdr:nvGraphicFramePr>
        <xdr:cNvPr id="203225" name="Grafiek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27</xdr:row>
      <xdr:rowOff>31377</xdr:rowOff>
    </xdr:from>
    <xdr:to>
      <xdr:col>20</xdr:col>
      <xdr:colOff>964485</xdr:colOff>
      <xdr:row>29</xdr:row>
      <xdr:rowOff>156136</xdr:rowOff>
    </xdr:to>
    <xdr:sp macro="" textlink="">
      <xdr:nvSpPr>
        <xdr:cNvPr id="28" name="AutoShape 153">
          <a:hlinkClick xmlns:r="http://schemas.openxmlformats.org/officeDocument/2006/relationships" r:id="rId2"/>
        </xdr:cNvPr>
        <xdr:cNvSpPr>
          <a:spLocks noChangeArrowheads="1"/>
        </xdr:cNvSpPr>
      </xdr:nvSpPr>
      <xdr:spPr bwMode="auto">
        <a:xfrm>
          <a:off x="12649200" y="4717677"/>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20</xdr:col>
      <xdr:colOff>3921</xdr:colOff>
      <xdr:row>24</xdr:row>
      <xdr:rowOff>0</xdr:rowOff>
    </xdr:from>
    <xdr:to>
      <xdr:col>21</xdr:col>
      <xdr:colOff>963519</xdr:colOff>
      <xdr:row>26</xdr:row>
      <xdr:rowOff>124759</xdr:rowOff>
    </xdr:to>
    <xdr:sp macro="" textlink="">
      <xdr:nvSpPr>
        <xdr:cNvPr id="29" name="AutoShape 154">
          <a:hlinkClick xmlns:r="http://schemas.openxmlformats.org/officeDocument/2006/relationships" r:id="rId3"/>
        </xdr:cNvPr>
        <xdr:cNvSpPr>
          <a:spLocks noChangeArrowheads="1"/>
        </xdr:cNvSpPr>
      </xdr:nvSpPr>
      <xdr:spPr bwMode="auto">
        <a:xfrm>
          <a:off x="12653121" y="4191000"/>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1042147</xdr:colOff>
      <xdr:row>33</xdr:row>
      <xdr:rowOff>98618</xdr:rowOff>
    </xdr:from>
    <xdr:to>
      <xdr:col>21</xdr:col>
      <xdr:colOff>952532</xdr:colOff>
      <xdr:row>36</xdr:row>
      <xdr:rowOff>32876</xdr:rowOff>
    </xdr:to>
    <xdr:sp macro="" textlink="">
      <xdr:nvSpPr>
        <xdr:cNvPr id="30" name="AutoShape 155">
          <a:hlinkClick xmlns:r="http://schemas.openxmlformats.org/officeDocument/2006/relationships" r:id="rId4"/>
        </xdr:cNvPr>
        <xdr:cNvSpPr>
          <a:spLocks noChangeArrowheads="1"/>
        </xdr:cNvSpPr>
      </xdr:nvSpPr>
      <xdr:spPr bwMode="auto">
        <a:xfrm>
          <a:off x="13691347" y="5775518"/>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20</xdr:col>
      <xdr:colOff>3922</xdr:colOff>
      <xdr:row>33</xdr:row>
      <xdr:rowOff>98618</xdr:rowOff>
    </xdr:from>
    <xdr:to>
      <xdr:col>20</xdr:col>
      <xdr:colOff>956422</xdr:colOff>
      <xdr:row>36</xdr:row>
      <xdr:rowOff>32876</xdr:rowOff>
    </xdr:to>
    <xdr:sp macro="" textlink="">
      <xdr:nvSpPr>
        <xdr:cNvPr id="31" name="AutoShape 156">
          <a:hlinkClick xmlns:r="http://schemas.openxmlformats.org/officeDocument/2006/relationships" r:id="rId5"/>
        </xdr:cNvPr>
        <xdr:cNvSpPr>
          <a:spLocks noChangeArrowheads="1"/>
        </xdr:cNvSpPr>
      </xdr:nvSpPr>
      <xdr:spPr bwMode="auto">
        <a:xfrm>
          <a:off x="12653122" y="5775518"/>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20</xdr:col>
      <xdr:colOff>1042147</xdr:colOff>
      <xdr:row>36</xdr:row>
      <xdr:rowOff>118601</xdr:rowOff>
    </xdr:from>
    <xdr:to>
      <xdr:col>21</xdr:col>
      <xdr:colOff>952532</xdr:colOff>
      <xdr:row>39</xdr:row>
      <xdr:rowOff>78260</xdr:rowOff>
    </xdr:to>
    <xdr:sp macro="" textlink="">
      <xdr:nvSpPr>
        <xdr:cNvPr id="32" name="AutoShape 157">
          <a:hlinkClick xmlns:r="http://schemas.openxmlformats.org/officeDocument/2006/relationships" r:id="rId6"/>
        </xdr:cNvPr>
        <xdr:cNvSpPr>
          <a:spLocks noChangeArrowheads="1"/>
        </xdr:cNvSpPr>
      </xdr:nvSpPr>
      <xdr:spPr bwMode="auto">
        <a:xfrm>
          <a:off x="13691347" y="6316201"/>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20</xdr:col>
      <xdr:colOff>3922</xdr:colOff>
      <xdr:row>36</xdr:row>
      <xdr:rowOff>118601</xdr:rowOff>
    </xdr:from>
    <xdr:to>
      <xdr:col>20</xdr:col>
      <xdr:colOff>956422</xdr:colOff>
      <xdr:row>39</xdr:row>
      <xdr:rowOff>78260</xdr:rowOff>
    </xdr:to>
    <xdr:sp macro="" textlink="">
      <xdr:nvSpPr>
        <xdr:cNvPr id="33" name="AutoShape 158">
          <a:hlinkClick xmlns:r="http://schemas.openxmlformats.org/officeDocument/2006/relationships" r:id="rId7"/>
        </xdr:cNvPr>
        <xdr:cNvSpPr>
          <a:spLocks noChangeArrowheads="1"/>
        </xdr:cNvSpPr>
      </xdr:nvSpPr>
      <xdr:spPr bwMode="auto">
        <a:xfrm>
          <a:off x="12653122" y="6316201"/>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20</xdr:col>
      <xdr:colOff>1042147</xdr:colOff>
      <xdr:row>39</xdr:row>
      <xdr:rowOff>163985</xdr:rowOff>
    </xdr:from>
    <xdr:to>
      <xdr:col>21</xdr:col>
      <xdr:colOff>952532</xdr:colOff>
      <xdr:row>42</xdr:row>
      <xdr:rowOff>123644</xdr:rowOff>
    </xdr:to>
    <xdr:sp macro="" textlink="">
      <xdr:nvSpPr>
        <xdr:cNvPr id="34" name="AutoShape 159">
          <a:hlinkClick xmlns:r="http://schemas.openxmlformats.org/officeDocument/2006/relationships" r:id="rId8"/>
        </xdr:cNvPr>
        <xdr:cNvSpPr>
          <a:spLocks noChangeArrowheads="1"/>
        </xdr:cNvSpPr>
      </xdr:nvSpPr>
      <xdr:spPr bwMode="auto">
        <a:xfrm>
          <a:off x="13691347" y="6856885"/>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20</xdr:col>
      <xdr:colOff>3922</xdr:colOff>
      <xdr:row>39</xdr:row>
      <xdr:rowOff>163985</xdr:rowOff>
    </xdr:from>
    <xdr:to>
      <xdr:col>20</xdr:col>
      <xdr:colOff>956422</xdr:colOff>
      <xdr:row>42</xdr:row>
      <xdr:rowOff>123644</xdr:rowOff>
    </xdr:to>
    <xdr:sp macro="" textlink="">
      <xdr:nvSpPr>
        <xdr:cNvPr id="35" name="AutoShape 160">
          <a:hlinkClick xmlns:r="http://schemas.openxmlformats.org/officeDocument/2006/relationships" r:id="rId9"/>
        </xdr:cNvPr>
        <xdr:cNvSpPr>
          <a:spLocks noChangeArrowheads="1"/>
        </xdr:cNvSpPr>
      </xdr:nvSpPr>
      <xdr:spPr bwMode="auto">
        <a:xfrm>
          <a:off x="12653122" y="6856885"/>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20</xdr:col>
      <xdr:colOff>1042147</xdr:colOff>
      <xdr:row>43</xdr:row>
      <xdr:rowOff>44269</xdr:rowOff>
    </xdr:from>
    <xdr:to>
      <xdr:col>21</xdr:col>
      <xdr:colOff>952532</xdr:colOff>
      <xdr:row>46</xdr:row>
      <xdr:rowOff>3928</xdr:rowOff>
    </xdr:to>
    <xdr:sp macro="" textlink="">
      <xdr:nvSpPr>
        <xdr:cNvPr id="36" name="AutoShape 161">
          <a:hlinkClick xmlns:r="http://schemas.openxmlformats.org/officeDocument/2006/relationships" r:id="rId10"/>
        </xdr:cNvPr>
        <xdr:cNvSpPr>
          <a:spLocks noChangeArrowheads="1"/>
        </xdr:cNvSpPr>
      </xdr:nvSpPr>
      <xdr:spPr bwMode="auto">
        <a:xfrm>
          <a:off x="13691347" y="7397569"/>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20</xdr:col>
      <xdr:colOff>3922</xdr:colOff>
      <xdr:row>43</xdr:row>
      <xdr:rowOff>44269</xdr:rowOff>
    </xdr:from>
    <xdr:to>
      <xdr:col>20</xdr:col>
      <xdr:colOff>956422</xdr:colOff>
      <xdr:row>46</xdr:row>
      <xdr:rowOff>3928</xdr:rowOff>
    </xdr:to>
    <xdr:sp macro="" textlink="">
      <xdr:nvSpPr>
        <xdr:cNvPr id="37" name="AutoShape 162">
          <a:hlinkClick xmlns:r="http://schemas.openxmlformats.org/officeDocument/2006/relationships" r:id="rId11"/>
        </xdr:cNvPr>
        <xdr:cNvSpPr>
          <a:spLocks noChangeArrowheads="1"/>
        </xdr:cNvSpPr>
      </xdr:nvSpPr>
      <xdr:spPr bwMode="auto">
        <a:xfrm>
          <a:off x="12653122" y="7397569"/>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20</xdr:col>
      <xdr:colOff>3922</xdr:colOff>
      <xdr:row>46</xdr:row>
      <xdr:rowOff>88532</xdr:rowOff>
    </xdr:from>
    <xdr:to>
      <xdr:col>21</xdr:col>
      <xdr:colOff>963519</xdr:colOff>
      <xdr:row>49</xdr:row>
      <xdr:rowOff>49312</xdr:rowOff>
    </xdr:to>
    <xdr:sp macro="" textlink="">
      <xdr:nvSpPr>
        <xdr:cNvPr id="38" name="AutoShape 163">
          <a:hlinkClick xmlns:r="http://schemas.openxmlformats.org/officeDocument/2006/relationships" r:id="rId12"/>
        </xdr:cNvPr>
        <xdr:cNvSpPr>
          <a:spLocks noChangeArrowheads="1"/>
        </xdr:cNvSpPr>
      </xdr:nvSpPr>
      <xdr:spPr bwMode="auto">
        <a:xfrm>
          <a:off x="12653122" y="7937132"/>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20</xdr:col>
      <xdr:colOff>0</xdr:colOff>
      <xdr:row>30</xdr:row>
      <xdr:rowOff>67795</xdr:rowOff>
    </xdr:from>
    <xdr:to>
      <xdr:col>20</xdr:col>
      <xdr:colOff>964485</xdr:colOff>
      <xdr:row>33</xdr:row>
      <xdr:rowOff>28575</xdr:rowOff>
    </xdr:to>
    <xdr:sp macro="" textlink="">
      <xdr:nvSpPr>
        <xdr:cNvPr id="39" name="AutoShape 166">
          <a:hlinkClick xmlns:r="http://schemas.openxmlformats.org/officeDocument/2006/relationships" r:id="rId13"/>
        </xdr:cNvPr>
        <xdr:cNvSpPr>
          <a:spLocks noChangeArrowheads="1"/>
        </xdr:cNvSpPr>
      </xdr:nvSpPr>
      <xdr:spPr bwMode="auto">
        <a:xfrm>
          <a:off x="12649200" y="5249395"/>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20</xdr:col>
      <xdr:colOff>1042707</xdr:colOff>
      <xdr:row>27</xdr:row>
      <xdr:rowOff>28575</xdr:rowOff>
    </xdr:from>
    <xdr:to>
      <xdr:col>21</xdr:col>
      <xdr:colOff>953092</xdr:colOff>
      <xdr:row>29</xdr:row>
      <xdr:rowOff>153334</xdr:rowOff>
    </xdr:to>
    <xdr:sp macro="" textlink="">
      <xdr:nvSpPr>
        <xdr:cNvPr id="40" name="AutoShape 153">
          <a:hlinkClick xmlns:r="http://schemas.openxmlformats.org/officeDocument/2006/relationships" r:id="rId14"/>
        </xdr:cNvPr>
        <xdr:cNvSpPr>
          <a:spLocks noChangeArrowheads="1"/>
        </xdr:cNvSpPr>
      </xdr:nvSpPr>
      <xdr:spPr bwMode="auto">
        <a:xfrm>
          <a:off x="13691907" y="4714875"/>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20</xdr:col>
      <xdr:colOff>1042707</xdr:colOff>
      <xdr:row>30</xdr:row>
      <xdr:rowOff>59951</xdr:rowOff>
    </xdr:from>
    <xdr:to>
      <xdr:col>21</xdr:col>
      <xdr:colOff>953092</xdr:colOff>
      <xdr:row>33</xdr:row>
      <xdr:rowOff>20731</xdr:rowOff>
    </xdr:to>
    <xdr:sp macro="" textlink="">
      <xdr:nvSpPr>
        <xdr:cNvPr id="41" name="AutoShape 166">
          <a:hlinkClick xmlns:r="http://schemas.openxmlformats.org/officeDocument/2006/relationships" r:id="rId15"/>
        </xdr:cNvPr>
        <xdr:cNvSpPr>
          <a:spLocks noChangeArrowheads="1"/>
        </xdr:cNvSpPr>
      </xdr:nvSpPr>
      <xdr:spPr bwMode="auto">
        <a:xfrm>
          <a:off x="13691907" y="5241551"/>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3</xdr:col>
      <xdr:colOff>190500</xdr:colOff>
      <xdr:row>9</xdr:row>
      <xdr:rowOff>95250</xdr:rowOff>
    </xdr:from>
    <xdr:to>
      <xdr:col>4</xdr:col>
      <xdr:colOff>1143000</xdr:colOff>
      <xdr:row>14</xdr:row>
      <xdr:rowOff>57150</xdr:rowOff>
    </xdr:to>
    <xdr:sp macro="" textlink="">
      <xdr:nvSpPr>
        <xdr:cNvPr id="724023" name="AutoShape 3"/>
        <xdr:cNvSpPr>
          <a:spLocks noChangeArrowheads="1"/>
        </xdr:cNvSpPr>
      </xdr:nvSpPr>
      <xdr:spPr bwMode="auto">
        <a:xfrm>
          <a:off x="2124075" y="1781175"/>
          <a:ext cx="1562100" cy="771525"/>
        </a:xfrm>
        <a:prstGeom prst="rightArrow">
          <a:avLst>
            <a:gd name="adj1" fmla="val 50000"/>
            <a:gd name="adj2" fmla="val 5061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219075</xdr:colOff>
      <xdr:row>11</xdr:row>
      <xdr:rowOff>38100</xdr:rowOff>
    </xdr:from>
    <xdr:to>
      <xdr:col>4</xdr:col>
      <xdr:colOff>990600</xdr:colOff>
      <xdr:row>12</xdr:row>
      <xdr:rowOff>123825</xdr:rowOff>
    </xdr:to>
    <xdr:sp macro="" textlink="">
      <xdr:nvSpPr>
        <xdr:cNvPr id="3" name="Text Box 4"/>
        <xdr:cNvSpPr txBox="1">
          <a:spLocks noChangeArrowheads="1"/>
        </xdr:cNvSpPr>
      </xdr:nvSpPr>
      <xdr:spPr bwMode="auto">
        <a:xfrm>
          <a:off x="2152650" y="2047875"/>
          <a:ext cx="13811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190500</xdr:colOff>
      <xdr:row>14</xdr:row>
      <xdr:rowOff>142875</xdr:rowOff>
    </xdr:from>
    <xdr:to>
      <xdr:col>4</xdr:col>
      <xdr:colOff>1143000</xdr:colOff>
      <xdr:row>19</xdr:row>
      <xdr:rowOff>104775</xdr:rowOff>
    </xdr:to>
    <xdr:sp macro="" textlink="">
      <xdr:nvSpPr>
        <xdr:cNvPr id="724025" name="AutoShape 5"/>
        <xdr:cNvSpPr>
          <a:spLocks noChangeArrowheads="1"/>
        </xdr:cNvSpPr>
      </xdr:nvSpPr>
      <xdr:spPr bwMode="auto">
        <a:xfrm>
          <a:off x="2124075" y="2638425"/>
          <a:ext cx="1562100" cy="771525"/>
        </a:xfrm>
        <a:prstGeom prst="rightArrow">
          <a:avLst>
            <a:gd name="adj1" fmla="val 50000"/>
            <a:gd name="adj2" fmla="val 5061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247650</xdr:colOff>
      <xdr:row>16</xdr:row>
      <xdr:rowOff>57150</xdr:rowOff>
    </xdr:from>
    <xdr:to>
      <xdr:col>4</xdr:col>
      <xdr:colOff>952500</xdr:colOff>
      <xdr:row>18</xdr:row>
      <xdr:rowOff>9525</xdr:rowOff>
    </xdr:to>
    <xdr:sp macro="" textlink="">
      <xdr:nvSpPr>
        <xdr:cNvPr id="5" name="Text Box 6"/>
        <xdr:cNvSpPr txBox="1">
          <a:spLocks noChangeArrowheads="1"/>
        </xdr:cNvSpPr>
      </xdr:nvSpPr>
      <xdr:spPr bwMode="auto">
        <a:xfrm>
          <a:off x="2181225" y="2876550"/>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190500</xdr:colOff>
      <xdr:row>20</xdr:row>
      <xdr:rowOff>47625</xdr:rowOff>
    </xdr:from>
    <xdr:to>
      <xdr:col>4</xdr:col>
      <xdr:colOff>1143000</xdr:colOff>
      <xdr:row>25</xdr:row>
      <xdr:rowOff>38100</xdr:rowOff>
    </xdr:to>
    <xdr:sp macro="" textlink="">
      <xdr:nvSpPr>
        <xdr:cNvPr id="724027" name="AutoShape 7"/>
        <xdr:cNvSpPr>
          <a:spLocks noChangeArrowheads="1"/>
        </xdr:cNvSpPr>
      </xdr:nvSpPr>
      <xdr:spPr bwMode="auto">
        <a:xfrm>
          <a:off x="2124075" y="35147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247650</xdr:colOff>
      <xdr:row>21</xdr:row>
      <xdr:rowOff>142875</xdr:rowOff>
    </xdr:from>
    <xdr:to>
      <xdr:col>4</xdr:col>
      <xdr:colOff>1095375</xdr:colOff>
      <xdr:row>23</xdr:row>
      <xdr:rowOff>114300</xdr:rowOff>
    </xdr:to>
    <xdr:sp macro="" textlink="">
      <xdr:nvSpPr>
        <xdr:cNvPr id="7" name="Text Box 8"/>
        <xdr:cNvSpPr txBox="1">
          <a:spLocks noChangeArrowheads="1"/>
        </xdr:cNvSpPr>
      </xdr:nvSpPr>
      <xdr:spPr bwMode="auto">
        <a:xfrm>
          <a:off x="2181225" y="377190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190500</xdr:colOff>
      <xdr:row>25</xdr:row>
      <xdr:rowOff>114300</xdr:rowOff>
    </xdr:from>
    <xdr:to>
      <xdr:col>4</xdr:col>
      <xdr:colOff>1143000</xdr:colOff>
      <xdr:row>30</xdr:row>
      <xdr:rowOff>104775</xdr:rowOff>
    </xdr:to>
    <xdr:sp macro="" textlink="">
      <xdr:nvSpPr>
        <xdr:cNvPr id="724029" name="AutoShape 9"/>
        <xdr:cNvSpPr>
          <a:spLocks noChangeArrowheads="1"/>
        </xdr:cNvSpPr>
      </xdr:nvSpPr>
      <xdr:spPr bwMode="auto">
        <a:xfrm>
          <a:off x="2124075" y="43910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27</xdr:row>
      <xdr:rowOff>57150</xdr:rowOff>
    </xdr:from>
    <xdr:to>
      <xdr:col>5</xdr:col>
      <xdr:colOff>19050</xdr:colOff>
      <xdr:row>29</xdr:row>
      <xdr:rowOff>9525</xdr:rowOff>
    </xdr:to>
    <xdr:sp macro="" textlink="">
      <xdr:nvSpPr>
        <xdr:cNvPr id="9" name="Text Box 10"/>
        <xdr:cNvSpPr txBox="1">
          <a:spLocks noChangeArrowheads="1"/>
        </xdr:cNvSpPr>
      </xdr:nvSpPr>
      <xdr:spPr bwMode="auto">
        <a:xfrm>
          <a:off x="2143125" y="4657725"/>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190500</xdr:colOff>
      <xdr:row>31</xdr:row>
      <xdr:rowOff>28575</xdr:rowOff>
    </xdr:from>
    <xdr:to>
      <xdr:col>4</xdr:col>
      <xdr:colOff>1143000</xdr:colOff>
      <xdr:row>35</xdr:row>
      <xdr:rowOff>152400</xdr:rowOff>
    </xdr:to>
    <xdr:sp macro="" textlink="">
      <xdr:nvSpPr>
        <xdr:cNvPr id="724031" name="AutoShape 11"/>
        <xdr:cNvSpPr>
          <a:spLocks noChangeArrowheads="1"/>
        </xdr:cNvSpPr>
      </xdr:nvSpPr>
      <xdr:spPr bwMode="auto">
        <a:xfrm>
          <a:off x="2124075" y="5276850"/>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238125</xdr:colOff>
      <xdr:row>32</xdr:row>
      <xdr:rowOff>142875</xdr:rowOff>
    </xdr:from>
    <xdr:to>
      <xdr:col>4</xdr:col>
      <xdr:colOff>676275</xdr:colOff>
      <xdr:row>34</xdr:row>
      <xdr:rowOff>95250</xdr:rowOff>
    </xdr:to>
    <xdr:sp macro="" textlink="">
      <xdr:nvSpPr>
        <xdr:cNvPr id="11" name="Text Box 12"/>
        <xdr:cNvSpPr txBox="1">
          <a:spLocks noChangeArrowheads="1"/>
        </xdr:cNvSpPr>
      </xdr:nvSpPr>
      <xdr:spPr bwMode="auto">
        <a:xfrm>
          <a:off x="2171700" y="5553075"/>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190500</xdr:colOff>
      <xdr:row>4</xdr:row>
      <xdr:rowOff>47625</xdr:rowOff>
    </xdr:from>
    <xdr:to>
      <xdr:col>4</xdr:col>
      <xdr:colOff>1143000</xdr:colOff>
      <xdr:row>9</xdr:row>
      <xdr:rowOff>38100</xdr:rowOff>
    </xdr:to>
    <xdr:sp macro="" textlink="">
      <xdr:nvSpPr>
        <xdr:cNvPr id="724033" name="AutoShape 13"/>
        <xdr:cNvSpPr>
          <a:spLocks noChangeArrowheads="1"/>
        </xdr:cNvSpPr>
      </xdr:nvSpPr>
      <xdr:spPr bwMode="auto">
        <a:xfrm>
          <a:off x="2124075" y="9239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5</xdr:row>
      <xdr:rowOff>152400</xdr:rowOff>
    </xdr:from>
    <xdr:to>
      <xdr:col>4</xdr:col>
      <xdr:colOff>1000125</xdr:colOff>
      <xdr:row>7</xdr:row>
      <xdr:rowOff>104775</xdr:rowOff>
    </xdr:to>
    <xdr:sp macro="" textlink="">
      <xdr:nvSpPr>
        <xdr:cNvPr id="13" name="Text Box 14"/>
        <xdr:cNvSpPr txBox="1">
          <a:spLocks noChangeArrowheads="1"/>
        </xdr:cNvSpPr>
      </xdr:nvSpPr>
      <xdr:spPr bwMode="auto">
        <a:xfrm>
          <a:off x="2162175" y="119062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2</xdr:col>
      <xdr:colOff>123825</xdr:colOff>
      <xdr:row>0</xdr:row>
      <xdr:rowOff>123825</xdr:rowOff>
    </xdr:from>
    <xdr:to>
      <xdr:col>4</xdr:col>
      <xdr:colOff>1133475</xdr:colOff>
      <xdr:row>2</xdr:row>
      <xdr:rowOff>38100</xdr:rowOff>
    </xdr:to>
    <xdr:sp macro="" textlink="">
      <xdr:nvSpPr>
        <xdr:cNvPr id="14" name="AutoShape 16"/>
        <xdr:cNvSpPr>
          <a:spLocks noChangeArrowheads="1"/>
        </xdr:cNvSpPr>
      </xdr:nvSpPr>
      <xdr:spPr bwMode="auto">
        <a:xfrm>
          <a:off x="1790700" y="123825"/>
          <a:ext cx="1885950" cy="342900"/>
        </a:xfrm>
        <a:prstGeom prst="wedgeRectCallout">
          <a:avLst>
            <a:gd name="adj1" fmla="val 59597"/>
            <a:gd name="adj2" fmla="val 113889"/>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5</xdr:col>
      <xdr:colOff>0</xdr:colOff>
      <xdr:row>5</xdr:row>
      <xdr:rowOff>114300</xdr:rowOff>
    </xdr:from>
    <xdr:to>
      <xdr:col>18</xdr:col>
      <xdr:colOff>0</xdr:colOff>
      <xdr:row>41</xdr:row>
      <xdr:rowOff>66675</xdr:rowOff>
    </xdr:to>
    <xdr:graphicFrame macro="">
      <xdr:nvGraphicFramePr>
        <xdr:cNvPr id="724036" name="Grafiek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27</xdr:row>
      <xdr:rowOff>31377</xdr:rowOff>
    </xdr:from>
    <xdr:to>
      <xdr:col>20</xdr:col>
      <xdr:colOff>964485</xdr:colOff>
      <xdr:row>29</xdr:row>
      <xdr:rowOff>156136</xdr:rowOff>
    </xdr:to>
    <xdr:sp macro="" textlink="">
      <xdr:nvSpPr>
        <xdr:cNvPr id="28" name="AutoShape 153">
          <a:hlinkClick xmlns:r="http://schemas.openxmlformats.org/officeDocument/2006/relationships" r:id="rId2"/>
        </xdr:cNvPr>
        <xdr:cNvSpPr>
          <a:spLocks noChangeArrowheads="1"/>
        </xdr:cNvSpPr>
      </xdr:nvSpPr>
      <xdr:spPr bwMode="auto">
        <a:xfrm>
          <a:off x="12649200" y="4717677"/>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20</xdr:col>
      <xdr:colOff>3921</xdr:colOff>
      <xdr:row>24</xdr:row>
      <xdr:rowOff>0</xdr:rowOff>
    </xdr:from>
    <xdr:to>
      <xdr:col>21</xdr:col>
      <xdr:colOff>963519</xdr:colOff>
      <xdr:row>26</xdr:row>
      <xdr:rowOff>124759</xdr:rowOff>
    </xdr:to>
    <xdr:sp macro="" textlink="">
      <xdr:nvSpPr>
        <xdr:cNvPr id="29" name="AutoShape 154">
          <a:hlinkClick xmlns:r="http://schemas.openxmlformats.org/officeDocument/2006/relationships" r:id="rId3"/>
        </xdr:cNvPr>
        <xdr:cNvSpPr>
          <a:spLocks noChangeArrowheads="1"/>
        </xdr:cNvSpPr>
      </xdr:nvSpPr>
      <xdr:spPr bwMode="auto">
        <a:xfrm>
          <a:off x="12653121" y="4191000"/>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1042147</xdr:colOff>
      <xdr:row>33</xdr:row>
      <xdr:rowOff>98618</xdr:rowOff>
    </xdr:from>
    <xdr:to>
      <xdr:col>21</xdr:col>
      <xdr:colOff>952532</xdr:colOff>
      <xdr:row>36</xdr:row>
      <xdr:rowOff>32876</xdr:rowOff>
    </xdr:to>
    <xdr:sp macro="" textlink="">
      <xdr:nvSpPr>
        <xdr:cNvPr id="30" name="AutoShape 155">
          <a:hlinkClick xmlns:r="http://schemas.openxmlformats.org/officeDocument/2006/relationships" r:id="rId4"/>
        </xdr:cNvPr>
        <xdr:cNvSpPr>
          <a:spLocks noChangeArrowheads="1"/>
        </xdr:cNvSpPr>
      </xdr:nvSpPr>
      <xdr:spPr bwMode="auto">
        <a:xfrm>
          <a:off x="13691347" y="5775518"/>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20</xdr:col>
      <xdr:colOff>3922</xdr:colOff>
      <xdr:row>33</xdr:row>
      <xdr:rowOff>98618</xdr:rowOff>
    </xdr:from>
    <xdr:to>
      <xdr:col>20</xdr:col>
      <xdr:colOff>956422</xdr:colOff>
      <xdr:row>36</xdr:row>
      <xdr:rowOff>32876</xdr:rowOff>
    </xdr:to>
    <xdr:sp macro="" textlink="">
      <xdr:nvSpPr>
        <xdr:cNvPr id="31" name="AutoShape 156">
          <a:hlinkClick xmlns:r="http://schemas.openxmlformats.org/officeDocument/2006/relationships" r:id="rId5"/>
        </xdr:cNvPr>
        <xdr:cNvSpPr>
          <a:spLocks noChangeArrowheads="1"/>
        </xdr:cNvSpPr>
      </xdr:nvSpPr>
      <xdr:spPr bwMode="auto">
        <a:xfrm>
          <a:off x="12653122" y="5775518"/>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20</xdr:col>
      <xdr:colOff>1042147</xdr:colOff>
      <xdr:row>36</xdr:row>
      <xdr:rowOff>118601</xdr:rowOff>
    </xdr:from>
    <xdr:to>
      <xdr:col>21</xdr:col>
      <xdr:colOff>952532</xdr:colOff>
      <xdr:row>39</xdr:row>
      <xdr:rowOff>78260</xdr:rowOff>
    </xdr:to>
    <xdr:sp macro="" textlink="">
      <xdr:nvSpPr>
        <xdr:cNvPr id="32" name="AutoShape 157">
          <a:hlinkClick xmlns:r="http://schemas.openxmlformats.org/officeDocument/2006/relationships" r:id="rId6"/>
        </xdr:cNvPr>
        <xdr:cNvSpPr>
          <a:spLocks noChangeArrowheads="1"/>
        </xdr:cNvSpPr>
      </xdr:nvSpPr>
      <xdr:spPr bwMode="auto">
        <a:xfrm>
          <a:off x="13691347" y="6316201"/>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20</xdr:col>
      <xdr:colOff>3922</xdr:colOff>
      <xdr:row>36</xdr:row>
      <xdr:rowOff>118601</xdr:rowOff>
    </xdr:from>
    <xdr:to>
      <xdr:col>20</xdr:col>
      <xdr:colOff>956422</xdr:colOff>
      <xdr:row>39</xdr:row>
      <xdr:rowOff>78260</xdr:rowOff>
    </xdr:to>
    <xdr:sp macro="" textlink="">
      <xdr:nvSpPr>
        <xdr:cNvPr id="33" name="AutoShape 158">
          <a:hlinkClick xmlns:r="http://schemas.openxmlformats.org/officeDocument/2006/relationships" r:id="rId7"/>
        </xdr:cNvPr>
        <xdr:cNvSpPr>
          <a:spLocks noChangeArrowheads="1"/>
        </xdr:cNvSpPr>
      </xdr:nvSpPr>
      <xdr:spPr bwMode="auto">
        <a:xfrm>
          <a:off x="12653122" y="6316201"/>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20</xdr:col>
      <xdr:colOff>1042147</xdr:colOff>
      <xdr:row>39</xdr:row>
      <xdr:rowOff>163985</xdr:rowOff>
    </xdr:from>
    <xdr:to>
      <xdr:col>21</xdr:col>
      <xdr:colOff>952532</xdr:colOff>
      <xdr:row>42</xdr:row>
      <xdr:rowOff>123644</xdr:rowOff>
    </xdr:to>
    <xdr:sp macro="" textlink="">
      <xdr:nvSpPr>
        <xdr:cNvPr id="34" name="AutoShape 159">
          <a:hlinkClick xmlns:r="http://schemas.openxmlformats.org/officeDocument/2006/relationships" r:id="rId8"/>
        </xdr:cNvPr>
        <xdr:cNvSpPr>
          <a:spLocks noChangeArrowheads="1"/>
        </xdr:cNvSpPr>
      </xdr:nvSpPr>
      <xdr:spPr bwMode="auto">
        <a:xfrm>
          <a:off x="13691347" y="6856885"/>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20</xdr:col>
      <xdr:colOff>3922</xdr:colOff>
      <xdr:row>39</xdr:row>
      <xdr:rowOff>163985</xdr:rowOff>
    </xdr:from>
    <xdr:to>
      <xdr:col>20</xdr:col>
      <xdr:colOff>956422</xdr:colOff>
      <xdr:row>42</xdr:row>
      <xdr:rowOff>123644</xdr:rowOff>
    </xdr:to>
    <xdr:sp macro="" textlink="">
      <xdr:nvSpPr>
        <xdr:cNvPr id="35" name="AutoShape 160">
          <a:hlinkClick xmlns:r="http://schemas.openxmlformats.org/officeDocument/2006/relationships" r:id="rId9"/>
        </xdr:cNvPr>
        <xdr:cNvSpPr>
          <a:spLocks noChangeArrowheads="1"/>
        </xdr:cNvSpPr>
      </xdr:nvSpPr>
      <xdr:spPr bwMode="auto">
        <a:xfrm>
          <a:off x="12653122" y="6856885"/>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20</xdr:col>
      <xdr:colOff>1042147</xdr:colOff>
      <xdr:row>43</xdr:row>
      <xdr:rowOff>44269</xdr:rowOff>
    </xdr:from>
    <xdr:to>
      <xdr:col>21</xdr:col>
      <xdr:colOff>952532</xdr:colOff>
      <xdr:row>46</xdr:row>
      <xdr:rowOff>3928</xdr:rowOff>
    </xdr:to>
    <xdr:sp macro="" textlink="">
      <xdr:nvSpPr>
        <xdr:cNvPr id="36" name="AutoShape 161">
          <a:hlinkClick xmlns:r="http://schemas.openxmlformats.org/officeDocument/2006/relationships" r:id="rId10"/>
        </xdr:cNvPr>
        <xdr:cNvSpPr>
          <a:spLocks noChangeArrowheads="1"/>
        </xdr:cNvSpPr>
      </xdr:nvSpPr>
      <xdr:spPr bwMode="auto">
        <a:xfrm>
          <a:off x="13691347" y="7397569"/>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20</xdr:col>
      <xdr:colOff>3922</xdr:colOff>
      <xdr:row>43</xdr:row>
      <xdr:rowOff>44269</xdr:rowOff>
    </xdr:from>
    <xdr:to>
      <xdr:col>20</xdr:col>
      <xdr:colOff>956422</xdr:colOff>
      <xdr:row>46</xdr:row>
      <xdr:rowOff>3928</xdr:rowOff>
    </xdr:to>
    <xdr:sp macro="" textlink="">
      <xdr:nvSpPr>
        <xdr:cNvPr id="37" name="AutoShape 162">
          <a:hlinkClick xmlns:r="http://schemas.openxmlformats.org/officeDocument/2006/relationships" r:id="rId11"/>
        </xdr:cNvPr>
        <xdr:cNvSpPr>
          <a:spLocks noChangeArrowheads="1"/>
        </xdr:cNvSpPr>
      </xdr:nvSpPr>
      <xdr:spPr bwMode="auto">
        <a:xfrm>
          <a:off x="12653122" y="7397569"/>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20</xdr:col>
      <xdr:colOff>3922</xdr:colOff>
      <xdr:row>46</xdr:row>
      <xdr:rowOff>88532</xdr:rowOff>
    </xdr:from>
    <xdr:to>
      <xdr:col>21</xdr:col>
      <xdr:colOff>963519</xdr:colOff>
      <xdr:row>49</xdr:row>
      <xdr:rowOff>49312</xdr:rowOff>
    </xdr:to>
    <xdr:sp macro="" textlink="">
      <xdr:nvSpPr>
        <xdr:cNvPr id="38" name="AutoShape 163">
          <a:hlinkClick xmlns:r="http://schemas.openxmlformats.org/officeDocument/2006/relationships" r:id="rId12"/>
        </xdr:cNvPr>
        <xdr:cNvSpPr>
          <a:spLocks noChangeArrowheads="1"/>
        </xdr:cNvSpPr>
      </xdr:nvSpPr>
      <xdr:spPr bwMode="auto">
        <a:xfrm>
          <a:off x="12653122" y="7937132"/>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20</xdr:col>
      <xdr:colOff>0</xdr:colOff>
      <xdr:row>30</xdr:row>
      <xdr:rowOff>67795</xdr:rowOff>
    </xdr:from>
    <xdr:to>
      <xdr:col>20</xdr:col>
      <xdr:colOff>964485</xdr:colOff>
      <xdr:row>33</xdr:row>
      <xdr:rowOff>28575</xdr:rowOff>
    </xdr:to>
    <xdr:sp macro="" textlink="">
      <xdr:nvSpPr>
        <xdr:cNvPr id="39" name="AutoShape 166">
          <a:hlinkClick xmlns:r="http://schemas.openxmlformats.org/officeDocument/2006/relationships" r:id="rId13"/>
        </xdr:cNvPr>
        <xdr:cNvSpPr>
          <a:spLocks noChangeArrowheads="1"/>
        </xdr:cNvSpPr>
      </xdr:nvSpPr>
      <xdr:spPr bwMode="auto">
        <a:xfrm>
          <a:off x="12649200" y="5249395"/>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20</xdr:col>
      <xdr:colOff>1042707</xdr:colOff>
      <xdr:row>27</xdr:row>
      <xdr:rowOff>28575</xdr:rowOff>
    </xdr:from>
    <xdr:to>
      <xdr:col>21</xdr:col>
      <xdr:colOff>953092</xdr:colOff>
      <xdr:row>29</xdr:row>
      <xdr:rowOff>153334</xdr:rowOff>
    </xdr:to>
    <xdr:sp macro="" textlink="">
      <xdr:nvSpPr>
        <xdr:cNvPr id="40" name="AutoShape 153">
          <a:hlinkClick xmlns:r="http://schemas.openxmlformats.org/officeDocument/2006/relationships" r:id="rId14"/>
        </xdr:cNvPr>
        <xdr:cNvSpPr>
          <a:spLocks noChangeArrowheads="1"/>
        </xdr:cNvSpPr>
      </xdr:nvSpPr>
      <xdr:spPr bwMode="auto">
        <a:xfrm>
          <a:off x="13691907" y="4714875"/>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20</xdr:col>
      <xdr:colOff>1042707</xdr:colOff>
      <xdr:row>30</xdr:row>
      <xdr:rowOff>59951</xdr:rowOff>
    </xdr:from>
    <xdr:to>
      <xdr:col>21</xdr:col>
      <xdr:colOff>953092</xdr:colOff>
      <xdr:row>33</xdr:row>
      <xdr:rowOff>20731</xdr:rowOff>
    </xdr:to>
    <xdr:sp macro="" textlink="">
      <xdr:nvSpPr>
        <xdr:cNvPr id="41" name="AutoShape 166">
          <a:hlinkClick xmlns:r="http://schemas.openxmlformats.org/officeDocument/2006/relationships" r:id="rId15"/>
        </xdr:cNvPr>
        <xdr:cNvSpPr>
          <a:spLocks noChangeArrowheads="1"/>
        </xdr:cNvSpPr>
      </xdr:nvSpPr>
      <xdr:spPr bwMode="auto">
        <a:xfrm>
          <a:off x="13691907" y="5241551"/>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94887"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94888" name="AutoShape 3"/>
        <xdr:cNvSpPr>
          <a:spLocks noChangeArrowheads="1"/>
        </xdr:cNvSpPr>
      </xdr:nvSpPr>
      <xdr:spPr bwMode="auto">
        <a:xfrm>
          <a:off x="2105025"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94564" name="Text Box 4"/>
        <xdr:cNvSpPr txBox="1">
          <a:spLocks noChangeArrowheads="1"/>
        </xdr:cNvSpPr>
      </xdr:nvSpPr>
      <xdr:spPr bwMode="auto">
        <a:xfrm>
          <a:off x="2133600"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94890" name="AutoShape 5"/>
        <xdr:cNvSpPr>
          <a:spLocks noChangeArrowheads="1"/>
        </xdr:cNvSpPr>
      </xdr:nvSpPr>
      <xdr:spPr bwMode="auto">
        <a:xfrm>
          <a:off x="2105025"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94566" name="Text Box 6"/>
        <xdr:cNvSpPr txBox="1">
          <a:spLocks noChangeArrowheads="1"/>
        </xdr:cNvSpPr>
      </xdr:nvSpPr>
      <xdr:spPr bwMode="auto">
        <a:xfrm>
          <a:off x="2162175"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94892" name="AutoShape 7"/>
        <xdr:cNvSpPr>
          <a:spLocks noChangeArrowheads="1"/>
        </xdr:cNvSpPr>
      </xdr:nvSpPr>
      <xdr:spPr bwMode="auto">
        <a:xfrm>
          <a:off x="2105025"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94568" name="Text Box 8"/>
        <xdr:cNvSpPr txBox="1">
          <a:spLocks noChangeArrowheads="1"/>
        </xdr:cNvSpPr>
      </xdr:nvSpPr>
      <xdr:spPr bwMode="auto">
        <a:xfrm>
          <a:off x="2162175"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94894" name="AutoShape 9"/>
        <xdr:cNvSpPr>
          <a:spLocks noChangeArrowheads="1"/>
        </xdr:cNvSpPr>
      </xdr:nvSpPr>
      <xdr:spPr bwMode="auto">
        <a:xfrm>
          <a:off x="2105025"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94570" name="Text Box 10"/>
        <xdr:cNvSpPr txBox="1">
          <a:spLocks noChangeArrowheads="1"/>
        </xdr:cNvSpPr>
      </xdr:nvSpPr>
      <xdr:spPr bwMode="auto">
        <a:xfrm>
          <a:off x="2124075"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94896" name="AutoShape 11"/>
        <xdr:cNvSpPr>
          <a:spLocks noChangeArrowheads="1"/>
        </xdr:cNvSpPr>
      </xdr:nvSpPr>
      <xdr:spPr bwMode="auto">
        <a:xfrm>
          <a:off x="2105025"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94572" name="Text Box 12"/>
        <xdr:cNvSpPr txBox="1">
          <a:spLocks noChangeArrowheads="1"/>
        </xdr:cNvSpPr>
      </xdr:nvSpPr>
      <xdr:spPr bwMode="auto">
        <a:xfrm>
          <a:off x="2162175"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94898" name="AutoShape 13"/>
        <xdr:cNvSpPr>
          <a:spLocks noChangeArrowheads="1"/>
        </xdr:cNvSpPr>
      </xdr:nvSpPr>
      <xdr:spPr bwMode="auto">
        <a:xfrm>
          <a:off x="2105025"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94574" name="Text Box 14"/>
        <xdr:cNvSpPr txBox="1">
          <a:spLocks noChangeArrowheads="1"/>
        </xdr:cNvSpPr>
      </xdr:nvSpPr>
      <xdr:spPr bwMode="auto">
        <a:xfrm>
          <a:off x="2143125"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94576" name="AutoShape 16"/>
        <xdr:cNvSpPr>
          <a:spLocks noChangeArrowheads="1"/>
        </xdr:cNvSpPr>
      </xdr:nvSpPr>
      <xdr:spPr bwMode="auto">
        <a:xfrm>
          <a:off x="1638300"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19" name="AutoShape 43">
          <a:hlinkClick xmlns:r="http://schemas.openxmlformats.org/officeDocument/2006/relationships" r:id="rId2"/>
        </xdr:cNvPr>
        <xdr:cNvSpPr>
          <a:spLocks noChangeArrowheads="1"/>
        </xdr:cNvSpPr>
      </xdr:nvSpPr>
      <xdr:spPr bwMode="auto">
        <a:xfrm>
          <a:off x="128905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0" name="AutoShape 44">
          <a:hlinkClick xmlns:r="http://schemas.openxmlformats.org/officeDocument/2006/relationships" r:id="rId3"/>
        </xdr:cNvPr>
        <xdr:cNvSpPr>
          <a:spLocks noChangeArrowheads="1"/>
        </xdr:cNvSpPr>
      </xdr:nvSpPr>
      <xdr:spPr bwMode="auto">
        <a:xfrm>
          <a:off x="128905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1" name="AutoShape 45">
          <a:hlinkClick xmlns:r="http://schemas.openxmlformats.org/officeDocument/2006/relationships" r:id="rId4"/>
        </xdr:cNvPr>
        <xdr:cNvSpPr>
          <a:spLocks noChangeArrowheads="1"/>
        </xdr:cNvSpPr>
      </xdr:nvSpPr>
      <xdr:spPr bwMode="auto">
        <a:xfrm>
          <a:off x="128905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2" name="AutoShape 43">
          <a:hlinkClick xmlns:r="http://schemas.openxmlformats.org/officeDocument/2006/relationships" r:id="rId5"/>
        </xdr:cNvPr>
        <xdr:cNvSpPr>
          <a:spLocks noChangeArrowheads="1"/>
        </xdr:cNvSpPr>
      </xdr:nvSpPr>
      <xdr:spPr bwMode="auto">
        <a:xfrm>
          <a:off x="142811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3" name="AutoShape 45">
          <a:hlinkClick xmlns:r="http://schemas.openxmlformats.org/officeDocument/2006/relationships" r:id="rId6"/>
        </xdr:cNvPr>
        <xdr:cNvSpPr>
          <a:spLocks noChangeArrowheads="1"/>
        </xdr:cNvSpPr>
      </xdr:nvSpPr>
      <xdr:spPr bwMode="auto">
        <a:xfrm>
          <a:off x="142811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3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3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3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3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3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3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4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4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4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4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4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4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4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4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78276"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78277"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67236</xdr:rowOff>
    </xdr:from>
    <xdr:to>
      <xdr:col>20</xdr:col>
      <xdr:colOff>114300</xdr:colOff>
      <xdr:row>2</xdr:row>
      <xdr:rowOff>10086</xdr:rowOff>
    </xdr:to>
    <xdr:sp macro="" textlink="">
      <xdr:nvSpPr>
        <xdr:cNvPr id="7" name="AutoShape 19">
          <a:hlinkClick xmlns:r="http://schemas.openxmlformats.org/officeDocument/2006/relationships" r:id="rId3"/>
        </xdr:cNvPr>
        <xdr:cNvSpPr>
          <a:spLocks noChangeArrowheads="1"/>
        </xdr:cNvSpPr>
      </xdr:nvSpPr>
      <xdr:spPr bwMode="auto">
        <a:xfrm>
          <a:off x="8951259" y="67236"/>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67236</xdr:rowOff>
    </xdr:from>
    <xdr:to>
      <xdr:col>17</xdr:col>
      <xdr:colOff>561975</xdr:colOff>
      <xdr:row>2</xdr:row>
      <xdr:rowOff>10086</xdr:rowOff>
    </xdr:to>
    <xdr:sp macro="" textlink="">
      <xdr:nvSpPr>
        <xdr:cNvPr id="8" name="AutoShape 20">
          <a:hlinkClick xmlns:r="http://schemas.openxmlformats.org/officeDocument/2006/relationships" r:id="rId4"/>
        </xdr:cNvPr>
        <xdr:cNvSpPr>
          <a:spLocks noChangeArrowheads="1"/>
        </xdr:cNvSpPr>
      </xdr:nvSpPr>
      <xdr:spPr bwMode="auto">
        <a:xfrm>
          <a:off x="7911353" y="67236"/>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67236</xdr:rowOff>
    </xdr:from>
    <xdr:to>
      <xdr:col>22</xdr:col>
      <xdr:colOff>38100</xdr:colOff>
      <xdr:row>2</xdr:row>
      <xdr:rowOff>10086</xdr:rowOff>
    </xdr:to>
    <xdr:sp macro="" textlink="">
      <xdr:nvSpPr>
        <xdr:cNvPr id="9" name="AutoShape 21">
          <a:hlinkClick xmlns:r="http://schemas.openxmlformats.org/officeDocument/2006/relationships" r:id="rId5"/>
        </xdr:cNvPr>
        <xdr:cNvSpPr>
          <a:spLocks noChangeArrowheads="1"/>
        </xdr:cNvSpPr>
      </xdr:nvSpPr>
      <xdr:spPr bwMode="auto">
        <a:xfrm>
          <a:off x="9984441" y="67236"/>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69475</xdr:rowOff>
    </xdr:from>
    <xdr:to>
      <xdr:col>23</xdr:col>
      <xdr:colOff>681880</xdr:colOff>
      <xdr:row>2</xdr:row>
      <xdr:rowOff>12325</xdr:rowOff>
    </xdr:to>
    <xdr:sp macro="" textlink="">
      <xdr:nvSpPr>
        <xdr:cNvPr id="10" name="AutoShape 19">
          <a:hlinkClick xmlns:r="http://schemas.openxmlformats.org/officeDocument/2006/relationships" r:id="rId6"/>
        </xdr:cNvPr>
        <xdr:cNvSpPr>
          <a:spLocks noChangeArrowheads="1"/>
        </xdr:cNvSpPr>
      </xdr:nvSpPr>
      <xdr:spPr bwMode="auto">
        <a:xfrm>
          <a:off x="11020427" y="69475"/>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69475</xdr:rowOff>
    </xdr:from>
    <xdr:to>
      <xdr:col>26</xdr:col>
      <xdr:colOff>224680</xdr:colOff>
      <xdr:row>2</xdr:row>
      <xdr:rowOff>12325</xdr:rowOff>
    </xdr:to>
    <xdr:sp macro="" textlink="">
      <xdr:nvSpPr>
        <xdr:cNvPr id="11" name="AutoShape 21">
          <a:hlinkClick xmlns:r="http://schemas.openxmlformats.org/officeDocument/2006/relationships" r:id="rId7"/>
        </xdr:cNvPr>
        <xdr:cNvSpPr>
          <a:spLocks noChangeArrowheads="1"/>
        </xdr:cNvSpPr>
      </xdr:nvSpPr>
      <xdr:spPr bwMode="auto">
        <a:xfrm>
          <a:off x="12053609" y="69475"/>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1123950</xdr:colOff>
      <xdr:row>5</xdr:row>
      <xdr:rowOff>19050</xdr:rowOff>
    </xdr:from>
    <xdr:to>
      <xdr:col>17</xdr:col>
      <xdr:colOff>190500</xdr:colOff>
      <xdr:row>36</xdr:row>
      <xdr:rowOff>9525</xdr:rowOff>
    </xdr:to>
    <xdr:graphicFrame macro="">
      <xdr:nvGraphicFramePr>
        <xdr:cNvPr id="181566" name="Grafiek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8</xdr:row>
      <xdr:rowOff>9525</xdr:rowOff>
    </xdr:from>
    <xdr:to>
      <xdr:col>4</xdr:col>
      <xdr:colOff>1123950</xdr:colOff>
      <xdr:row>12</xdr:row>
      <xdr:rowOff>133350</xdr:rowOff>
    </xdr:to>
    <xdr:sp macro="" textlink="">
      <xdr:nvSpPr>
        <xdr:cNvPr id="181567" name="AutoShape 3"/>
        <xdr:cNvSpPr>
          <a:spLocks noChangeArrowheads="1"/>
        </xdr:cNvSpPr>
      </xdr:nvSpPr>
      <xdr:spPr bwMode="auto">
        <a:xfrm>
          <a:off x="2105025" y="1609725"/>
          <a:ext cx="1562100" cy="828675"/>
        </a:xfrm>
        <a:prstGeom prst="rightArrow">
          <a:avLst>
            <a:gd name="adj1" fmla="val 50000"/>
            <a:gd name="adj2" fmla="val 4712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200025</xdr:colOff>
      <xdr:row>9</xdr:row>
      <xdr:rowOff>114300</xdr:rowOff>
    </xdr:from>
    <xdr:to>
      <xdr:col>4</xdr:col>
      <xdr:colOff>971550</xdr:colOff>
      <xdr:row>11</xdr:row>
      <xdr:rowOff>38100</xdr:rowOff>
    </xdr:to>
    <xdr:sp macro="" textlink="">
      <xdr:nvSpPr>
        <xdr:cNvPr id="181252" name="Text Box 4"/>
        <xdr:cNvSpPr txBox="1">
          <a:spLocks noChangeArrowheads="1"/>
        </xdr:cNvSpPr>
      </xdr:nvSpPr>
      <xdr:spPr bwMode="auto">
        <a:xfrm>
          <a:off x="2133600" y="1857375"/>
          <a:ext cx="1381125"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HAVO / VWO = E8</a:t>
          </a:r>
          <a:endParaRPr lang="nl-NL"/>
        </a:p>
      </xdr:txBody>
    </xdr:sp>
    <xdr:clientData/>
  </xdr:twoCellAnchor>
  <xdr:twoCellAnchor>
    <xdr:from>
      <xdr:col>3</xdr:col>
      <xdr:colOff>171450</xdr:colOff>
      <xdr:row>12</xdr:row>
      <xdr:rowOff>142875</xdr:rowOff>
    </xdr:from>
    <xdr:to>
      <xdr:col>4</xdr:col>
      <xdr:colOff>1123950</xdr:colOff>
      <xdr:row>17</xdr:row>
      <xdr:rowOff>104775</xdr:rowOff>
    </xdr:to>
    <xdr:sp macro="" textlink="">
      <xdr:nvSpPr>
        <xdr:cNvPr id="181569" name="AutoShape 5"/>
        <xdr:cNvSpPr>
          <a:spLocks noChangeArrowheads="1"/>
        </xdr:cNvSpPr>
      </xdr:nvSpPr>
      <xdr:spPr bwMode="auto">
        <a:xfrm>
          <a:off x="2105025" y="2447925"/>
          <a:ext cx="1562100" cy="904875"/>
        </a:xfrm>
        <a:prstGeom prst="rightArrow">
          <a:avLst>
            <a:gd name="adj1" fmla="val 50000"/>
            <a:gd name="adj2" fmla="val 4315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14</xdr:row>
      <xdr:rowOff>57150</xdr:rowOff>
    </xdr:from>
    <xdr:to>
      <xdr:col>4</xdr:col>
      <xdr:colOff>933450</xdr:colOff>
      <xdr:row>16</xdr:row>
      <xdr:rowOff>9525</xdr:rowOff>
    </xdr:to>
    <xdr:sp macro="" textlink="">
      <xdr:nvSpPr>
        <xdr:cNvPr id="181254" name="Text Box 6"/>
        <xdr:cNvSpPr txBox="1">
          <a:spLocks noChangeArrowheads="1"/>
        </xdr:cNvSpPr>
      </xdr:nvSpPr>
      <xdr:spPr bwMode="auto">
        <a:xfrm>
          <a:off x="2162175" y="2695575"/>
          <a:ext cx="1314450" cy="3810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TL / HAVO = M8</a:t>
          </a:r>
          <a:endParaRPr lang="nl-NL"/>
        </a:p>
      </xdr:txBody>
    </xdr:sp>
    <xdr:clientData/>
  </xdr:twoCellAnchor>
  <xdr:twoCellAnchor>
    <xdr:from>
      <xdr:col>3</xdr:col>
      <xdr:colOff>171450</xdr:colOff>
      <xdr:row>17</xdr:row>
      <xdr:rowOff>114300</xdr:rowOff>
    </xdr:from>
    <xdr:to>
      <xdr:col>4</xdr:col>
      <xdr:colOff>1123950</xdr:colOff>
      <xdr:row>22</xdr:row>
      <xdr:rowOff>104775</xdr:rowOff>
    </xdr:to>
    <xdr:sp macro="" textlink="">
      <xdr:nvSpPr>
        <xdr:cNvPr id="181571" name="AutoShape 7"/>
        <xdr:cNvSpPr>
          <a:spLocks noChangeArrowheads="1"/>
        </xdr:cNvSpPr>
      </xdr:nvSpPr>
      <xdr:spPr bwMode="auto">
        <a:xfrm>
          <a:off x="2105025" y="33623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19</xdr:row>
      <xdr:rowOff>47625</xdr:rowOff>
    </xdr:from>
    <xdr:to>
      <xdr:col>4</xdr:col>
      <xdr:colOff>1076325</xdr:colOff>
      <xdr:row>21</xdr:row>
      <xdr:rowOff>19050</xdr:rowOff>
    </xdr:to>
    <xdr:sp macro="" textlink="">
      <xdr:nvSpPr>
        <xdr:cNvPr id="181256" name="Text Box 8"/>
        <xdr:cNvSpPr txBox="1">
          <a:spLocks noChangeArrowheads="1"/>
        </xdr:cNvSpPr>
      </xdr:nvSpPr>
      <xdr:spPr bwMode="auto">
        <a:xfrm>
          <a:off x="2162175" y="3600450"/>
          <a:ext cx="1457325" cy="2952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KADER / TL = E7</a:t>
          </a:r>
          <a:endParaRPr lang="nl-NL"/>
        </a:p>
      </xdr:txBody>
    </xdr:sp>
    <xdr:clientData/>
  </xdr:twoCellAnchor>
  <xdr:twoCellAnchor>
    <xdr:from>
      <xdr:col>3</xdr:col>
      <xdr:colOff>171450</xdr:colOff>
      <xdr:row>22</xdr:row>
      <xdr:rowOff>123825</xdr:rowOff>
    </xdr:from>
    <xdr:to>
      <xdr:col>4</xdr:col>
      <xdr:colOff>1123950</xdr:colOff>
      <xdr:row>27</xdr:row>
      <xdr:rowOff>114300</xdr:rowOff>
    </xdr:to>
    <xdr:sp macro="" textlink="">
      <xdr:nvSpPr>
        <xdr:cNvPr id="181573" name="AutoShape 9"/>
        <xdr:cNvSpPr>
          <a:spLocks noChangeArrowheads="1"/>
        </xdr:cNvSpPr>
      </xdr:nvSpPr>
      <xdr:spPr bwMode="auto">
        <a:xfrm>
          <a:off x="2105025" y="418147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190500</xdr:colOff>
      <xdr:row>24</xdr:row>
      <xdr:rowOff>57150</xdr:rowOff>
    </xdr:from>
    <xdr:to>
      <xdr:col>5</xdr:col>
      <xdr:colOff>0</xdr:colOff>
      <xdr:row>26</xdr:row>
      <xdr:rowOff>9525</xdr:rowOff>
    </xdr:to>
    <xdr:sp macro="" textlink="">
      <xdr:nvSpPr>
        <xdr:cNvPr id="181258" name="Text Box 10"/>
        <xdr:cNvSpPr txBox="1">
          <a:spLocks noChangeArrowheads="1"/>
        </xdr:cNvSpPr>
      </xdr:nvSpPr>
      <xdr:spPr bwMode="auto">
        <a:xfrm>
          <a:off x="2124075" y="4419600"/>
          <a:ext cx="16192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KADER = M7</a:t>
          </a:r>
          <a:endParaRPr lang="nl-NL"/>
        </a:p>
      </xdr:txBody>
    </xdr:sp>
    <xdr:clientData/>
  </xdr:twoCellAnchor>
  <xdr:twoCellAnchor>
    <xdr:from>
      <xdr:col>3</xdr:col>
      <xdr:colOff>171450</xdr:colOff>
      <xdr:row>27</xdr:row>
      <xdr:rowOff>133350</xdr:rowOff>
    </xdr:from>
    <xdr:to>
      <xdr:col>4</xdr:col>
      <xdr:colOff>1123950</xdr:colOff>
      <xdr:row>32</xdr:row>
      <xdr:rowOff>123825</xdr:rowOff>
    </xdr:to>
    <xdr:sp macro="" textlink="">
      <xdr:nvSpPr>
        <xdr:cNvPr id="181575" name="AutoShape 11"/>
        <xdr:cNvSpPr>
          <a:spLocks noChangeArrowheads="1"/>
        </xdr:cNvSpPr>
      </xdr:nvSpPr>
      <xdr:spPr bwMode="auto">
        <a:xfrm>
          <a:off x="2105025" y="5000625"/>
          <a:ext cx="1562100" cy="800100"/>
        </a:xfrm>
        <a:prstGeom prst="rightArrow">
          <a:avLst>
            <a:gd name="adj1" fmla="val 50000"/>
            <a:gd name="adj2" fmla="val 4881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228600</xdr:colOff>
      <xdr:row>29</xdr:row>
      <xdr:rowOff>66675</xdr:rowOff>
    </xdr:from>
    <xdr:to>
      <xdr:col>4</xdr:col>
      <xdr:colOff>666750</xdr:colOff>
      <xdr:row>31</xdr:row>
      <xdr:rowOff>19050</xdr:rowOff>
    </xdr:to>
    <xdr:sp macro="" textlink="">
      <xdr:nvSpPr>
        <xdr:cNvPr id="181260" name="Text Box 12"/>
        <xdr:cNvSpPr txBox="1">
          <a:spLocks noChangeArrowheads="1"/>
        </xdr:cNvSpPr>
      </xdr:nvSpPr>
      <xdr:spPr bwMode="auto">
        <a:xfrm>
          <a:off x="2162175" y="5238750"/>
          <a:ext cx="10477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BASIS = E6</a:t>
          </a:r>
          <a:endParaRPr lang="nl-NL"/>
        </a:p>
      </xdr:txBody>
    </xdr:sp>
    <xdr:clientData/>
  </xdr:twoCellAnchor>
  <xdr:twoCellAnchor>
    <xdr:from>
      <xdr:col>3</xdr:col>
      <xdr:colOff>171450</xdr:colOff>
      <xdr:row>3</xdr:row>
      <xdr:rowOff>123825</xdr:rowOff>
    </xdr:from>
    <xdr:to>
      <xdr:col>4</xdr:col>
      <xdr:colOff>1123950</xdr:colOff>
      <xdr:row>8</xdr:row>
      <xdr:rowOff>0</xdr:rowOff>
    </xdr:to>
    <xdr:sp macro="" textlink="">
      <xdr:nvSpPr>
        <xdr:cNvPr id="181577" name="AutoShape 13"/>
        <xdr:cNvSpPr>
          <a:spLocks noChangeArrowheads="1"/>
        </xdr:cNvSpPr>
      </xdr:nvSpPr>
      <xdr:spPr bwMode="auto">
        <a:xfrm>
          <a:off x="2105025" y="742950"/>
          <a:ext cx="1562100" cy="857250"/>
        </a:xfrm>
        <a:prstGeom prst="rightArrow">
          <a:avLst>
            <a:gd name="adj1" fmla="val 50000"/>
            <a:gd name="adj2" fmla="val 45556"/>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209550</xdr:colOff>
      <xdr:row>4</xdr:row>
      <xdr:rowOff>114300</xdr:rowOff>
    </xdr:from>
    <xdr:to>
      <xdr:col>4</xdr:col>
      <xdr:colOff>981075</xdr:colOff>
      <xdr:row>6</xdr:row>
      <xdr:rowOff>66675</xdr:rowOff>
    </xdr:to>
    <xdr:sp macro="" textlink="">
      <xdr:nvSpPr>
        <xdr:cNvPr id="181262" name="Text Box 14"/>
        <xdr:cNvSpPr txBox="1">
          <a:spLocks noChangeArrowheads="1"/>
        </xdr:cNvSpPr>
      </xdr:nvSpPr>
      <xdr:spPr bwMode="auto">
        <a:xfrm>
          <a:off x="2143125" y="990600"/>
          <a:ext cx="1381125" cy="3048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32004" rIns="0" bIns="32004" anchor="ctr" upright="1"/>
        <a:lstStyle/>
        <a:p>
          <a:pPr algn="l" rtl="0">
            <a:defRPr sz="1000"/>
          </a:pPr>
          <a:r>
            <a:rPr lang="nl-NL" sz="1100" b="0" i="0" u="none" strike="noStrike" baseline="0">
              <a:solidFill>
                <a:srgbClr val="000000"/>
              </a:solidFill>
              <a:latin typeface="Comic Sans MS"/>
            </a:rPr>
            <a:t>VWO / GYM = E8+</a:t>
          </a:r>
          <a:endParaRPr lang="nl-NL"/>
        </a:p>
      </xdr:txBody>
    </xdr:sp>
    <xdr:clientData/>
  </xdr:twoCellAnchor>
  <xdr:twoCellAnchor>
    <xdr:from>
      <xdr:col>1</xdr:col>
      <xdr:colOff>1352550</xdr:colOff>
      <xdr:row>1</xdr:row>
      <xdr:rowOff>209550</xdr:rowOff>
    </xdr:from>
    <xdr:to>
      <xdr:col>4</xdr:col>
      <xdr:colOff>981075</xdr:colOff>
      <xdr:row>3</xdr:row>
      <xdr:rowOff>114300</xdr:rowOff>
    </xdr:to>
    <xdr:sp macro="" textlink="">
      <xdr:nvSpPr>
        <xdr:cNvPr id="181264" name="AutoShape 16"/>
        <xdr:cNvSpPr>
          <a:spLocks noChangeArrowheads="1"/>
        </xdr:cNvSpPr>
      </xdr:nvSpPr>
      <xdr:spPr bwMode="auto">
        <a:xfrm>
          <a:off x="1638300" y="371475"/>
          <a:ext cx="1885950" cy="342900"/>
        </a:xfrm>
        <a:prstGeom prst="wedgeRectCallout">
          <a:avLst>
            <a:gd name="adj1" fmla="val 67648"/>
            <a:gd name="adj2" fmla="val 40907"/>
          </a:avLst>
        </a:prstGeom>
        <a:solidFill>
          <a:srgbClr xmlns:mc="http://schemas.openxmlformats.org/markup-compatibility/2006" xmlns:a14="http://schemas.microsoft.com/office/drawing/2010/main" val="FF8080" mc:Ignorable="a14" a14:legacySpreadsheetColorIndex="29"/>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nl-NL" sz="1000" b="0" i="0" u="none" strike="noStrike" baseline="0">
              <a:solidFill>
                <a:srgbClr val="FFFFFF"/>
              </a:solidFill>
              <a:latin typeface="Arial"/>
              <a:cs typeface="Arial"/>
            </a:rPr>
            <a:t>toets hier het leerlingnummer in - druk daarna op Enter</a:t>
          </a:r>
          <a:endParaRPr lang="nl-NL"/>
        </a:p>
      </xdr:txBody>
    </xdr:sp>
    <xdr:clientData fPrintsWithSheet="0"/>
  </xdr:twoCellAnchor>
  <xdr:twoCellAnchor>
    <xdr:from>
      <xdr:col>18</xdr:col>
      <xdr:colOff>0</xdr:colOff>
      <xdr:row>22</xdr:row>
      <xdr:rowOff>66675</xdr:rowOff>
    </xdr:from>
    <xdr:to>
      <xdr:col>19</xdr:col>
      <xdr:colOff>85725</xdr:colOff>
      <xdr:row>27</xdr:row>
      <xdr:rowOff>9525</xdr:rowOff>
    </xdr:to>
    <xdr:sp macro="" textlink="">
      <xdr:nvSpPr>
        <xdr:cNvPr id="19" name="AutoShape 43">
          <a:hlinkClick xmlns:r="http://schemas.openxmlformats.org/officeDocument/2006/relationships" r:id="rId2"/>
        </xdr:cNvPr>
        <xdr:cNvSpPr>
          <a:spLocks noChangeArrowheads="1"/>
        </xdr:cNvSpPr>
      </xdr:nvSpPr>
      <xdr:spPr bwMode="auto">
        <a:xfrm>
          <a:off x="1289050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Lijn-TOPP</a:t>
          </a:r>
          <a:endParaRPr lang="nl-NL"/>
        </a:p>
      </xdr:txBody>
    </xdr:sp>
    <xdr:clientData fPrintsWithSheet="0"/>
  </xdr:twoCellAnchor>
  <xdr:twoCellAnchor>
    <xdr:from>
      <xdr:col>18</xdr:col>
      <xdr:colOff>0</xdr:colOff>
      <xdr:row>17</xdr:row>
      <xdr:rowOff>0</xdr:rowOff>
    </xdr:from>
    <xdr:to>
      <xdr:col>20</xdr:col>
      <xdr:colOff>615950</xdr:colOff>
      <xdr:row>21</xdr:row>
      <xdr:rowOff>117475</xdr:rowOff>
    </xdr:to>
    <xdr:sp macro="" textlink="">
      <xdr:nvSpPr>
        <xdr:cNvPr id="20" name="AutoShape 44">
          <a:hlinkClick xmlns:r="http://schemas.openxmlformats.org/officeDocument/2006/relationships" r:id="rId3"/>
        </xdr:cNvPr>
        <xdr:cNvSpPr>
          <a:spLocks noChangeArrowheads="1"/>
        </xdr:cNvSpPr>
      </xdr:nvSpPr>
      <xdr:spPr bwMode="auto">
        <a:xfrm>
          <a:off x="12890500" y="3289300"/>
          <a:ext cx="2686050" cy="7778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Beginblad</a:t>
          </a:r>
          <a:endParaRPr lang="nl-NL"/>
        </a:p>
      </xdr:txBody>
    </xdr:sp>
    <xdr:clientData fPrintsWithSheet="0"/>
  </xdr:twoCellAnchor>
  <xdr:twoCellAnchor>
    <xdr:from>
      <xdr:col>18</xdr:col>
      <xdr:colOff>0</xdr:colOff>
      <xdr:row>27</xdr:row>
      <xdr:rowOff>146050</xdr:rowOff>
    </xdr:from>
    <xdr:to>
      <xdr:col>19</xdr:col>
      <xdr:colOff>85725</xdr:colOff>
      <xdr:row>32</xdr:row>
      <xdr:rowOff>85725</xdr:rowOff>
    </xdr:to>
    <xdr:sp macro="" textlink="">
      <xdr:nvSpPr>
        <xdr:cNvPr id="21" name="AutoShape 45">
          <a:hlinkClick xmlns:r="http://schemas.openxmlformats.org/officeDocument/2006/relationships" r:id="rId4"/>
        </xdr:cNvPr>
        <xdr:cNvSpPr>
          <a:spLocks noChangeArrowheads="1"/>
        </xdr:cNvSpPr>
      </xdr:nvSpPr>
      <xdr:spPr bwMode="auto">
        <a:xfrm>
          <a:off x="1289050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Lijn-Profiel</a:t>
          </a:r>
        </a:p>
      </xdr:txBody>
    </xdr:sp>
    <xdr:clientData fPrintsWithSheet="0"/>
  </xdr:twoCellAnchor>
  <xdr:twoCellAnchor>
    <xdr:from>
      <xdr:col>19</xdr:col>
      <xdr:colOff>184150</xdr:colOff>
      <xdr:row>22</xdr:row>
      <xdr:rowOff>66675</xdr:rowOff>
    </xdr:from>
    <xdr:to>
      <xdr:col>20</xdr:col>
      <xdr:colOff>612775</xdr:colOff>
      <xdr:row>27</xdr:row>
      <xdr:rowOff>9525</xdr:rowOff>
    </xdr:to>
    <xdr:sp macro="" textlink="">
      <xdr:nvSpPr>
        <xdr:cNvPr id="22" name="AutoShape 43">
          <a:hlinkClick xmlns:r="http://schemas.openxmlformats.org/officeDocument/2006/relationships" r:id="rId5"/>
        </xdr:cNvPr>
        <xdr:cNvSpPr>
          <a:spLocks noChangeArrowheads="1"/>
        </xdr:cNvSpPr>
      </xdr:nvSpPr>
      <xdr:spPr bwMode="auto">
        <a:xfrm>
          <a:off x="14281150" y="4181475"/>
          <a:ext cx="1292225" cy="76835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Staaf-TOPP</a:t>
          </a:r>
          <a:endParaRPr lang="nl-NL"/>
        </a:p>
      </xdr:txBody>
    </xdr:sp>
    <xdr:clientData fPrintsWithSheet="0"/>
  </xdr:twoCellAnchor>
  <xdr:twoCellAnchor>
    <xdr:from>
      <xdr:col>19</xdr:col>
      <xdr:colOff>184150</xdr:colOff>
      <xdr:row>27</xdr:row>
      <xdr:rowOff>146050</xdr:rowOff>
    </xdr:from>
    <xdr:to>
      <xdr:col>20</xdr:col>
      <xdr:colOff>612775</xdr:colOff>
      <xdr:row>32</xdr:row>
      <xdr:rowOff>85725</xdr:rowOff>
    </xdr:to>
    <xdr:sp macro="" textlink="">
      <xdr:nvSpPr>
        <xdr:cNvPr id="23" name="AutoShape 45">
          <a:hlinkClick xmlns:r="http://schemas.openxmlformats.org/officeDocument/2006/relationships" r:id="rId6"/>
        </xdr:cNvPr>
        <xdr:cNvSpPr>
          <a:spLocks noChangeArrowheads="1"/>
        </xdr:cNvSpPr>
      </xdr:nvSpPr>
      <xdr:spPr bwMode="auto">
        <a:xfrm>
          <a:off x="14281150" y="5086350"/>
          <a:ext cx="1292225" cy="765175"/>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400" b="0" i="0" u="none" strike="noStrike" baseline="0">
              <a:solidFill>
                <a:srgbClr val="FFFFFF"/>
              </a:solidFill>
              <a:latin typeface="Arial"/>
              <a:cs typeface="Arial"/>
            </a:rPr>
            <a:t>Staaf-Profiel</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7</xdr:row>
      <xdr:rowOff>33618</xdr:rowOff>
    </xdr:from>
    <xdr:to>
      <xdr:col>16</xdr:col>
      <xdr:colOff>359367</xdr:colOff>
      <xdr:row>8</xdr:row>
      <xdr:rowOff>242048</xdr:rowOff>
    </xdr:to>
    <xdr:sp macro="" textlink="">
      <xdr:nvSpPr>
        <xdr:cNvPr id="14" name="AutoShape 153">
          <a:hlinkClick xmlns:r="http://schemas.openxmlformats.org/officeDocument/2006/relationships" r:id="rId1"/>
        </xdr:cNvPr>
        <xdr:cNvSpPr>
          <a:spLocks noChangeArrowheads="1"/>
        </xdr:cNvSpPr>
      </xdr:nvSpPr>
      <xdr:spPr bwMode="auto">
        <a:xfrm>
          <a:off x="6286500" y="2532530"/>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15</xdr:col>
      <xdr:colOff>3921</xdr:colOff>
      <xdr:row>5</xdr:row>
      <xdr:rowOff>0</xdr:rowOff>
    </xdr:from>
    <xdr:to>
      <xdr:col>18</xdr:col>
      <xdr:colOff>202266</xdr:colOff>
      <xdr:row>6</xdr:row>
      <xdr:rowOff>208430</xdr:rowOff>
    </xdr:to>
    <xdr:sp macro="" textlink="">
      <xdr:nvSpPr>
        <xdr:cNvPr id="15" name="AutoShape 154">
          <a:hlinkClick xmlns:r="http://schemas.openxmlformats.org/officeDocument/2006/relationships" r:id="rId2"/>
        </xdr:cNvPr>
        <xdr:cNvSpPr>
          <a:spLocks noChangeArrowheads="1"/>
        </xdr:cNvSpPr>
      </xdr:nvSpPr>
      <xdr:spPr bwMode="auto">
        <a:xfrm>
          <a:off x="6290421" y="2005853"/>
          <a:ext cx="2013698"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16</xdr:col>
      <xdr:colOff>437029</xdr:colOff>
      <xdr:row>11</xdr:row>
      <xdr:rowOff>105342</xdr:rowOff>
    </xdr:from>
    <xdr:to>
      <xdr:col>18</xdr:col>
      <xdr:colOff>191279</xdr:colOff>
      <xdr:row>13</xdr:row>
      <xdr:rowOff>67241</xdr:rowOff>
    </xdr:to>
    <xdr:sp macro="" textlink="">
      <xdr:nvSpPr>
        <xdr:cNvPr id="16" name="AutoShape 155">
          <a:hlinkClick xmlns:r="http://schemas.openxmlformats.org/officeDocument/2006/relationships" r:id="rId3"/>
        </xdr:cNvPr>
        <xdr:cNvSpPr>
          <a:spLocks noChangeArrowheads="1"/>
        </xdr:cNvSpPr>
      </xdr:nvSpPr>
      <xdr:spPr bwMode="auto">
        <a:xfrm>
          <a:off x="7328647" y="3590371"/>
          <a:ext cx="964485"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E4</a:t>
          </a:r>
          <a:endParaRPr lang="nl-NL"/>
        </a:p>
      </xdr:txBody>
    </xdr:sp>
    <xdr:clientData/>
  </xdr:twoCellAnchor>
  <xdr:twoCellAnchor>
    <xdr:from>
      <xdr:col>15</xdr:col>
      <xdr:colOff>3922</xdr:colOff>
      <xdr:row>11</xdr:row>
      <xdr:rowOff>105342</xdr:rowOff>
    </xdr:from>
    <xdr:to>
      <xdr:col>16</xdr:col>
      <xdr:colOff>351304</xdr:colOff>
      <xdr:row>13</xdr:row>
      <xdr:rowOff>67241</xdr:rowOff>
    </xdr:to>
    <xdr:sp macro="" textlink="">
      <xdr:nvSpPr>
        <xdr:cNvPr id="17" name="AutoShape 156">
          <a:hlinkClick xmlns:r="http://schemas.openxmlformats.org/officeDocument/2006/relationships" r:id="rId4"/>
        </xdr:cNvPr>
        <xdr:cNvSpPr>
          <a:spLocks noChangeArrowheads="1"/>
        </xdr:cNvSpPr>
      </xdr:nvSpPr>
      <xdr:spPr bwMode="auto">
        <a:xfrm>
          <a:off x="6290422" y="3590371"/>
          <a:ext cx="952500" cy="454958"/>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M4</a:t>
          </a:r>
          <a:endParaRPr lang="nl-NL"/>
        </a:p>
      </xdr:txBody>
    </xdr:sp>
    <xdr:clientData/>
  </xdr:twoCellAnchor>
  <xdr:twoCellAnchor>
    <xdr:from>
      <xdr:col>16</xdr:col>
      <xdr:colOff>437029</xdr:colOff>
      <xdr:row>13</xdr:row>
      <xdr:rowOff>152966</xdr:rowOff>
    </xdr:from>
    <xdr:to>
      <xdr:col>18</xdr:col>
      <xdr:colOff>191279</xdr:colOff>
      <xdr:row>15</xdr:row>
      <xdr:rowOff>114866</xdr:rowOff>
    </xdr:to>
    <xdr:sp macro="" textlink="">
      <xdr:nvSpPr>
        <xdr:cNvPr id="18" name="AutoShape 157">
          <a:hlinkClick xmlns:r="http://schemas.openxmlformats.org/officeDocument/2006/relationships" r:id="rId5"/>
        </xdr:cNvPr>
        <xdr:cNvSpPr>
          <a:spLocks noChangeArrowheads="1"/>
        </xdr:cNvSpPr>
      </xdr:nvSpPr>
      <xdr:spPr bwMode="auto">
        <a:xfrm>
          <a:off x="7328647" y="4131054"/>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E5</a:t>
          </a:r>
          <a:endParaRPr lang="nl-NL"/>
        </a:p>
      </xdr:txBody>
    </xdr:sp>
    <xdr:clientData/>
  </xdr:twoCellAnchor>
  <xdr:twoCellAnchor>
    <xdr:from>
      <xdr:col>15</xdr:col>
      <xdr:colOff>3922</xdr:colOff>
      <xdr:row>13</xdr:row>
      <xdr:rowOff>152966</xdr:rowOff>
    </xdr:from>
    <xdr:to>
      <xdr:col>16</xdr:col>
      <xdr:colOff>351304</xdr:colOff>
      <xdr:row>15</xdr:row>
      <xdr:rowOff>114866</xdr:rowOff>
    </xdr:to>
    <xdr:sp macro="" textlink="">
      <xdr:nvSpPr>
        <xdr:cNvPr id="19" name="AutoShape 158">
          <a:hlinkClick xmlns:r="http://schemas.openxmlformats.org/officeDocument/2006/relationships" r:id="rId6"/>
        </xdr:cNvPr>
        <xdr:cNvSpPr>
          <a:spLocks noChangeArrowheads="1"/>
        </xdr:cNvSpPr>
      </xdr:nvSpPr>
      <xdr:spPr bwMode="auto">
        <a:xfrm>
          <a:off x="6290422" y="4131054"/>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M5</a:t>
          </a:r>
          <a:endParaRPr lang="nl-NL"/>
        </a:p>
      </xdr:txBody>
    </xdr:sp>
    <xdr:clientData/>
  </xdr:twoCellAnchor>
  <xdr:twoCellAnchor>
    <xdr:from>
      <xdr:col>16</xdr:col>
      <xdr:colOff>437029</xdr:colOff>
      <xdr:row>15</xdr:row>
      <xdr:rowOff>200591</xdr:rowOff>
    </xdr:from>
    <xdr:to>
      <xdr:col>18</xdr:col>
      <xdr:colOff>191279</xdr:colOff>
      <xdr:row>17</xdr:row>
      <xdr:rowOff>162491</xdr:rowOff>
    </xdr:to>
    <xdr:sp macro="" textlink="">
      <xdr:nvSpPr>
        <xdr:cNvPr id="20" name="AutoShape 159">
          <a:hlinkClick xmlns:r="http://schemas.openxmlformats.org/officeDocument/2006/relationships" r:id="rId7"/>
        </xdr:cNvPr>
        <xdr:cNvSpPr>
          <a:spLocks noChangeArrowheads="1"/>
        </xdr:cNvSpPr>
      </xdr:nvSpPr>
      <xdr:spPr bwMode="auto">
        <a:xfrm>
          <a:off x="7328647" y="4671738"/>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E6</a:t>
          </a:r>
          <a:endParaRPr lang="nl-NL"/>
        </a:p>
      </xdr:txBody>
    </xdr:sp>
    <xdr:clientData/>
  </xdr:twoCellAnchor>
  <xdr:twoCellAnchor>
    <xdr:from>
      <xdr:col>15</xdr:col>
      <xdr:colOff>3922</xdr:colOff>
      <xdr:row>15</xdr:row>
      <xdr:rowOff>200591</xdr:rowOff>
    </xdr:from>
    <xdr:to>
      <xdr:col>16</xdr:col>
      <xdr:colOff>351304</xdr:colOff>
      <xdr:row>17</xdr:row>
      <xdr:rowOff>162491</xdr:rowOff>
    </xdr:to>
    <xdr:sp macro="" textlink="">
      <xdr:nvSpPr>
        <xdr:cNvPr id="21" name="AutoShape 160">
          <a:hlinkClick xmlns:r="http://schemas.openxmlformats.org/officeDocument/2006/relationships" r:id="rId8"/>
        </xdr:cNvPr>
        <xdr:cNvSpPr>
          <a:spLocks noChangeArrowheads="1"/>
        </xdr:cNvSpPr>
      </xdr:nvSpPr>
      <xdr:spPr bwMode="auto">
        <a:xfrm>
          <a:off x="6290422" y="4671738"/>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M6</a:t>
          </a:r>
          <a:endParaRPr lang="nl-NL"/>
        </a:p>
      </xdr:txBody>
    </xdr:sp>
    <xdr:clientData/>
  </xdr:twoCellAnchor>
  <xdr:twoCellAnchor>
    <xdr:from>
      <xdr:col>16</xdr:col>
      <xdr:colOff>437029</xdr:colOff>
      <xdr:row>18</xdr:row>
      <xdr:rowOff>1687</xdr:rowOff>
    </xdr:from>
    <xdr:to>
      <xdr:col>18</xdr:col>
      <xdr:colOff>191279</xdr:colOff>
      <xdr:row>19</xdr:row>
      <xdr:rowOff>210116</xdr:rowOff>
    </xdr:to>
    <xdr:sp macro="" textlink="">
      <xdr:nvSpPr>
        <xdr:cNvPr id="22" name="AutoShape 161">
          <a:hlinkClick xmlns:r="http://schemas.openxmlformats.org/officeDocument/2006/relationships" r:id="rId9"/>
        </xdr:cNvPr>
        <xdr:cNvSpPr>
          <a:spLocks noChangeArrowheads="1"/>
        </xdr:cNvSpPr>
      </xdr:nvSpPr>
      <xdr:spPr bwMode="auto">
        <a:xfrm>
          <a:off x="7328647" y="5212422"/>
          <a:ext cx="964485"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E7</a:t>
          </a:r>
          <a:endParaRPr lang="nl-NL"/>
        </a:p>
      </xdr:txBody>
    </xdr:sp>
    <xdr:clientData/>
  </xdr:twoCellAnchor>
  <xdr:twoCellAnchor>
    <xdr:from>
      <xdr:col>15</xdr:col>
      <xdr:colOff>3922</xdr:colOff>
      <xdr:row>18</xdr:row>
      <xdr:rowOff>1687</xdr:rowOff>
    </xdr:from>
    <xdr:to>
      <xdr:col>16</xdr:col>
      <xdr:colOff>351304</xdr:colOff>
      <xdr:row>19</xdr:row>
      <xdr:rowOff>210116</xdr:rowOff>
    </xdr:to>
    <xdr:sp macro="" textlink="">
      <xdr:nvSpPr>
        <xdr:cNvPr id="23" name="AutoShape 162">
          <a:hlinkClick xmlns:r="http://schemas.openxmlformats.org/officeDocument/2006/relationships" r:id="rId10"/>
        </xdr:cNvPr>
        <xdr:cNvSpPr>
          <a:spLocks noChangeArrowheads="1"/>
        </xdr:cNvSpPr>
      </xdr:nvSpPr>
      <xdr:spPr bwMode="auto">
        <a:xfrm>
          <a:off x="6290422" y="5212422"/>
          <a:ext cx="952500" cy="454959"/>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M7</a:t>
          </a:r>
          <a:endParaRPr lang="nl-NL"/>
        </a:p>
      </xdr:txBody>
    </xdr:sp>
    <xdr:clientData/>
  </xdr:twoCellAnchor>
  <xdr:twoCellAnchor>
    <xdr:from>
      <xdr:col>15</xdr:col>
      <xdr:colOff>3922</xdr:colOff>
      <xdr:row>20</xdr:row>
      <xdr:rowOff>48191</xdr:rowOff>
    </xdr:from>
    <xdr:to>
      <xdr:col>18</xdr:col>
      <xdr:colOff>202266</xdr:colOff>
      <xdr:row>22</xdr:row>
      <xdr:rowOff>11212</xdr:rowOff>
    </xdr:to>
    <xdr:sp macro="" textlink="">
      <xdr:nvSpPr>
        <xdr:cNvPr id="24" name="AutoShape 163">
          <a:hlinkClick xmlns:r="http://schemas.openxmlformats.org/officeDocument/2006/relationships" r:id="rId11"/>
        </xdr:cNvPr>
        <xdr:cNvSpPr>
          <a:spLocks noChangeArrowheads="1"/>
        </xdr:cNvSpPr>
      </xdr:nvSpPr>
      <xdr:spPr bwMode="auto">
        <a:xfrm>
          <a:off x="6290422" y="5751985"/>
          <a:ext cx="2013697" cy="456080"/>
        </a:xfrm>
        <a:prstGeom prst="actionButtonBlank">
          <a:avLst/>
        </a:prstGeom>
        <a:solidFill>
          <a:srgbClr xmlns:mc="http://schemas.openxmlformats.org/markup-compatibility/2006" xmlns:a14="http://schemas.microsoft.com/office/drawing/2010/main" val="CCCCFF" mc:Ignorable="a14" a14:legacySpreadsheetColorIndex="31"/>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200" b="1" i="0" u="none" strike="noStrike" baseline="0">
              <a:solidFill>
                <a:srgbClr val="000000"/>
              </a:solidFill>
              <a:latin typeface="Arial"/>
              <a:cs typeface="Arial"/>
            </a:rPr>
            <a:t>M8</a:t>
          </a:r>
          <a:endParaRPr lang="nl-NL"/>
        </a:p>
      </xdr:txBody>
    </xdr:sp>
    <xdr:clientData/>
  </xdr:twoCellAnchor>
  <xdr:twoCellAnchor>
    <xdr:from>
      <xdr:col>15</xdr:col>
      <xdr:colOff>0</xdr:colOff>
      <xdr:row>9</xdr:row>
      <xdr:rowOff>72277</xdr:rowOff>
    </xdr:from>
    <xdr:to>
      <xdr:col>16</xdr:col>
      <xdr:colOff>359367</xdr:colOff>
      <xdr:row>11</xdr:row>
      <xdr:rowOff>35299</xdr:rowOff>
    </xdr:to>
    <xdr:sp macro="" textlink="">
      <xdr:nvSpPr>
        <xdr:cNvPr id="25" name="AutoShape 166">
          <a:hlinkClick xmlns:r="http://schemas.openxmlformats.org/officeDocument/2006/relationships" r:id="rId12"/>
        </xdr:cNvPr>
        <xdr:cNvSpPr>
          <a:spLocks noChangeArrowheads="1"/>
        </xdr:cNvSpPr>
      </xdr:nvSpPr>
      <xdr:spPr bwMode="auto">
        <a:xfrm>
          <a:off x="6286500" y="3064248"/>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Lijn-Profiel</a:t>
          </a:r>
        </a:p>
      </xdr:txBody>
    </xdr:sp>
    <xdr:clientData/>
  </xdr:twoCellAnchor>
  <xdr:twoCellAnchor>
    <xdr:from>
      <xdr:col>16</xdr:col>
      <xdr:colOff>437589</xdr:colOff>
      <xdr:row>7</xdr:row>
      <xdr:rowOff>30816</xdr:rowOff>
    </xdr:from>
    <xdr:to>
      <xdr:col>18</xdr:col>
      <xdr:colOff>191839</xdr:colOff>
      <xdr:row>8</xdr:row>
      <xdr:rowOff>239246</xdr:rowOff>
    </xdr:to>
    <xdr:sp macro="" textlink="">
      <xdr:nvSpPr>
        <xdr:cNvPr id="26" name="AutoShape 153">
          <a:hlinkClick xmlns:r="http://schemas.openxmlformats.org/officeDocument/2006/relationships" r:id="rId13"/>
        </xdr:cNvPr>
        <xdr:cNvSpPr>
          <a:spLocks noChangeArrowheads="1"/>
        </xdr:cNvSpPr>
      </xdr:nvSpPr>
      <xdr:spPr bwMode="auto">
        <a:xfrm>
          <a:off x="7329207" y="2529728"/>
          <a:ext cx="964485" cy="454959"/>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Staaf-TOPP</a:t>
          </a:r>
          <a:endParaRPr lang="nl-NL"/>
        </a:p>
      </xdr:txBody>
    </xdr:sp>
    <xdr:clientData/>
  </xdr:twoCellAnchor>
  <xdr:twoCellAnchor>
    <xdr:from>
      <xdr:col>16</xdr:col>
      <xdr:colOff>437589</xdr:colOff>
      <xdr:row>9</xdr:row>
      <xdr:rowOff>64433</xdr:rowOff>
    </xdr:from>
    <xdr:to>
      <xdr:col>18</xdr:col>
      <xdr:colOff>191839</xdr:colOff>
      <xdr:row>11</xdr:row>
      <xdr:rowOff>27455</xdr:rowOff>
    </xdr:to>
    <xdr:sp macro="" textlink="">
      <xdr:nvSpPr>
        <xdr:cNvPr id="27" name="AutoShape 166">
          <a:hlinkClick xmlns:r="http://schemas.openxmlformats.org/officeDocument/2006/relationships" r:id="rId14"/>
        </xdr:cNvPr>
        <xdr:cNvSpPr>
          <a:spLocks noChangeArrowheads="1"/>
        </xdr:cNvSpPr>
      </xdr:nvSpPr>
      <xdr:spPr bwMode="auto">
        <a:xfrm>
          <a:off x="7329207" y="3056404"/>
          <a:ext cx="964485" cy="456080"/>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142875</xdr:colOff>
      <xdr:row>57</xdr:row>
      <xdr:rowOff>114300</xdr:rowOff>
    </xdr:from>
    <xdr:to>
      <xdr:col>56</xdr:col>
      <xdr:colOff>704850</xdr:colOff>
      <xdr:row>90</xdr:row>
      <xdr:rowOff>104775</xdr:rowOff>
    </xdr:to>
    <xdr:graphicFrame macro="">
      <xdr:nvGraphicFramePr>
        <xdr:cNvPr id="172130" name="Grafiek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200025</xdr:colOff>
      <xdr:row>57</xdr:row>
      <xdr:rowOff>123825</xdr:rowOff>
    </xdr:from>
    <xdr:to>
      <xdr:col>19</xdr:col>
      <xdr:colOff>333375</xdr:colOff>
      <xdr:row>90</xdr:row>
      <xdr:rowOff>95250</xdr:rowOff>
    </xdr:to>
    <xdr:graphicFrame macro="">
      <xdr:nvGraphicFramePr>
        <xdr:cNvPr id="172131" name="Grafiek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647700</xdr:colOff>
      <xdr:row>0</xdr:row>
      <xdr:rowOff>67236</xdr:rowOff>
    </xdr:from>
    <xdr:to>
      <xdr:col>20</xdr:col>
      <xdr:colOff>114300</xdr:colOff>
      <xdr:row>2</xdr:row>
      <xdr:rowOff>10086</xdr:rowOff>
    </xdr:to>
    <xdr:sp macro="" textlink="">
      <xdr:nvSpPr>
        <xdr:cNvPr id="7" name="AutoShape 19">
          <a:hlinkClick xmlns:r="http://schemas.openxmlformats.org/officeDocument/2006/relationships" r:id="rId3"/>
        </xdr:cNvPr>
        <xdr:cNvSpPr>
          <a:spLocks noChangeArrowheads="1"/>
        </xdr:cNvSpPr>
      </xdr:nvSpPr>
      <xdr:spPr bwMode="auto">
        <a:xfrm>
          <a:off x="8951259" y="67236"/>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Lijn-TOPP</a:t>
          </a:r>
          <a:endParaRPr lang="nl-NL"/>
        </a:p>
      </xdr:txBody>
    </xdr:sp>
    <xdr:clientData/>
  </xdr:twoCellAnchor>
  <xdr:twoCellAnchor>
    <xdr:from>
      <xdr:col>16</xdr:col>
      <xdr:colOff>0</xdr:colOff>
      <xdr:row>0</xdr:row>
      <xdr:rowOff>67236</xdr:rowOff>
    </xdr:from>
    <xdr:to>
      <xdr:col>17</xdr:col>
      <xdr:colOff>561975</xdr:colOff>
      <xdr:row>2</xdr:row>
      <xdr:rowOff>10086</xdr:rowOff>
    </xdr:to>
    <xdr:sp macro="" textlink="">
      <xdr:nvSpPr>
        <xdr:cNvPr id="8" name="AutoShape 20">
          <a:hlinkClick xmlns:r="http://schemas.openxmlformats.org/officeDocument/2006/relationships" r:id="rId4"/>
        </xdr:cNvPr>
        <xdr:cNvSpPr>
          <a:spLocks noChangeArrowheads="1"/>
        </xdr:cNvSpPr>
      </xdr:nvSpPr>
      <xdr:spPr bwMode="auto">
        <a:xfrm>
          <a:off x="7911353" y="67236"/>
          <a:ext cx="954181"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Beginblad</a:t>
          </a:r>
          <a:endParaRPr lang="nl-NL"/>
        </a:p>
      </xdr:txBody>
    </xdr:sp>
    <xdr:clientData/>
  </xdr:twoCellAnchor>
  <xdr:twoCellAnchor>
    <xdr:from>
      <xdr:col>20</xdr:col>
      <xdr:colOff>190500</xdr:colOff>
      <xdr:row>0</xdr:row>
      <xdr:rowOff>67236</xdr:rowOff>
    </xdr:from>
    <xdr:to>
      <xdr:col>22</xdr:col>
      <xdr:colOff>38100</xdr:colOff>
      <xdr:row>2</xdr:row>
      <xdr:rowOff>10086</xdr:rowOff>
    </xdr:to>
    <xdr:sp macro="" textlink="">
      <xdr:nvSpPr>
        <xdr:cNvPr id="9" name="AutoShape 21">
          <a:hlinkClick xmlns:r="http://schemas.openxmlformats.org/officeDocument/2006/relationships" r:id="rId5"/>
        </xdr:cNvPr>
        <xdr:cNvSpPr>
          <a:spLocks noChangeArrowheads="1"/>
        </xdr:cNvSpPr>
      </xdr:nvSpPr>
      <xdr:spPr bwMode="auto">
        <a:xfrm>
          <a:off x="9984441" y="67236"/>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Staaf-TOPP</a:t>
          </a:r>
        </a:p>
      </xdr:txBody>
    </xdr:sp>
    <xdr:clientData/>
  </xdr:twoCellAnchor>
  <xdr:twoCellAnchor>
    <xdr:from>
      <xdr:col>22</xdr:col>
      <xdr:colOff>117103</xdr:colOff>
      <xdr:row>0</xdr:row>
      <xdr:rowOff>69475</xdr:rowOff>
    </xdr:from>
    <xdr:to>
      <xdr:col>23</xdr:col>
      <xdr:colOff>681880</xdr:colOff>
      <xdr:row>2</xdr:row>
      <xdr:rowOff>12325</xdr:rowOff>
    </xdr:to>
    <xdr:sp macro="" textlink="">
      <xdr:nvSpPr>
        <xdr:cNvPr id="10" name="AutoShape 19">
          <a:hlinkClick xmlns:r="http://schemas.openxmlformats.org/officeDocument/2006/relationships" r:id="rId6"/>
        </xdr:cNvPr>
        <xdr:cNvSpPr>
          <a:spLocks noChangeArrowheads="1"/>
        </xdr:cNvSpPr>
      </xdr:nvSpPr>
      <xdr:spPr bwMode="auto">
        <a:xfrm>
          <a:off x="11020427" y="69475"/>
          <a:ext cx="956982"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defRPr sz="1000"/>
          </a:pPr>
          <a:r>
            <a:rPr lang="nl-NL" sz="1000" b="0" i="0" u="none" strike="noStrike" baseline="0">
              <a:solidFill>
                <a:srgbClr val="FFFFFF"/>
              </a:solidFill>
              <a:latin typeface="Arial"/>
              <a:cs typeface="Arial"/>
            </a:rPr>
            <a:t>Lijn-Profiel</a:t>
          </a:r>
          <a:endParaRPr lang="nl-NL"/>
        </a:p>
      </xdr:txBody>
    </xdr:sp>
    <xdr:clientData/>
  </xdr:twoCellAnchor>
  <xdr:twoCellAnchor>
    <xdr:from>
      <xdr:col>24</xdr:col>
      <xdr:colOff>52109</xdr:colOff>
      <xdr:row>0</xdr:row>
      <xdr:rowOff>69475</xdr:rowOff>
    </xdr:from>
    <xdr:to>
      <xdr:col>26</xdr:col>
      <xdr:colOff>224680</xdr:colOff>
      <xdr:row>2</xdr:row>
      <xdr:rowOff>12325</xdr:rowOff>
    </xdr:to>
    <xdr:sp macro="" textlink="">
      <xdr:nvSpPr>
        <xdr:cNvPr id="11" name="AutoShape 21">
          <a:hlinkClick xmlns:r="http://schemas.openxmlformats.org/officeDocument/2006/relationships" r:id="rId7"/>
        </xdr:cNvPr>
        <xdr:cNvSpPr>
          <a:spLocks noChangeArrowheads="1"/>
        </xdr:cNvSpPr>
      </xdr:nvSpPr>
      <xdr:spPr bwMode="auto">
        <a:xfrm>
          <a:off x="12053609" y="69475"/>
          <a:ext cx="956983" cy="458321"/>
        </a:xfrm>
        <a:prstGeom prst="actionButtonBlank">
          <a:avLst/>
        </a:prstGeom>
        <a:solidFill>
          <a:srgbClr xmlns:mc="http://schemas.openxmlformats.org/markup-compatibility/2006" xmlns:a14="http://schemas.microsoft.com/office/drawing/2010/main" val="FF0000" mc:Ignorable="a14" a14:legacySpreadsheetColorIndex="10"/>
        </a:solidFill>
        <a:ln>
          <a:noFill/>
        </a:ln>
        <a:scene3d>
          <a:camera prst="orthographicFront"/>
          <a:lightRig rig="threePt" dir="t"/>
        </a:scene3d>
        <a:sp3d>
          <a:bevelT/>
        </a:sp3d>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ctr" rtl="0">
            <a:lnSpc>
              <a:spcPts val="1000"/>
            </a:lnSpc>
            <a:defRPr sz="1000"/>
          </a:pPr>
          <a:r>
            <a:rPr lang="nl-NL" sz="1000" b="0" i="0" u="none" strike="noStrike" baseline="0">
              <a:solidFill>
                <a:srgbClr val="FFFFFF"/>
              </a:solidFill>
              <a:latin typeface="Arial"/>
              <a:cs typeface="Arial"/>
            </a:rPr>
            <a:t>Staaf-Profiel</a:t>
          </a:r>
        </a:p>
      </xdr:txBody>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10.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sheetPr>
  <dimension ref="A2:P42"/>
  <sheetViews>
    <sheetView showGridLines="0" showRowColHeaders="0" tabSelected="1" zoomScale="85" zoomScaleNormal="85" workbookViewId="0"/>
  </sheetViews>
  <sheetFormatPr defaultRowHeight="12.75" x14ac:dyDescent="0.2"/>
  <cols>
    <col min="1" max="1" width="4" style="12" bestFit="1" customWidth="1"/>
    <col min="2" max="2" width="25.7109375" style="11" customWidth="1"/>
    <col min="3" max="3" width="25.7109375" style="306" customWidth="1"/>
    <col min="4" max="6" width="5.7109375" customWidth="1"/>
    <col min="7" max="15" width="6.85546875" customWidth="1"/>
  </cols>
  <sheetData>
    <row r="2" spans="1:16" ht="24.95" customHeight="1" x14ac:dyDescent="0.6">
      <c r="P2" s="4"/>
    </row>
    <row r="4" spans="1:16" ht="13.5" thickBot="1" x14ac:dyDescent="0.25"/>
    <row r="5" spans="1:16" ht="21.75" thickBot="1" x14ac:dyDescent="0.45">
      <c r="A5" s="312" t="s">
        <v>13</v>
      </c>
      <c r="B5" s="313"/>
      <c r="C5" s="305" t="s">
        <v>144</v>
      </c>
      <c r="D5" s="29"/>
      <c r="E5" s="317" t="s">
        <v>116</v>
      </c>
      <c r="F5" s="317"/>
      <c r="G5" s="317"/>
      <c r="H5" s="317"/>
      <c r="I5" s="317"/>
      <c r="J5" s="251"/>
      <c r="K5" s="314"/>
      <c r="L5" s="314"/>
    </row>
    <row r="6" spans="1:16" ht="19.5" customHeight="1" x14ac:dyDescent="0.4">
      <c r="A6" s="150">
        <v>1</v>
      </c>
      <c r="B6" s="302" t="s">
        <v>141</v>
      </c>
      <c r="C6" s="307">
        <v>37358</v>
      </c>
      <c r="E6" s="315"/>
      <c r="F6" s="316"/>
      <c r="G6" s="251"/>
    </row>
    <row r="7" spans="1:16" ht="19.5" customHeight="1" x14ac:dyDescent="0.2">
      <c r="A7" s="39">
        <v>2</v>
      </c>
      <c r="B7" s="302" t="s">
        <v>142</v>
      </c>
      <c r="C7" s="308">
        <v>38056</v>
      </c>
    </row>
    <row r="8" spans="1:16" ht="19.5" customHeight="1" x14ac:dyDescent="0.2">
      <c r="A8" s="39">
        <v>3</v>
      </c>
      <c r="B8" s="302" t="s">
        <v>143</v>
      </c>
      <c r="C8" s="308">
        <v>38495</v>
      </c>
    </row>
    <row r="9" spans="1:16" ht="19.5" customHeight="1" x14ac:dyDescent="0.2">
      <c r="A9" s="39">
        <v>4</v>
      </c>
      <c r="B9" s="302"/>
      <c r="C9" s="308"/>
    </row>
    <row r="10" spans="1:16" ht="19.5" customHeight="1" x14ac:dyDescent="0.2">
      <c r="A10" s="39">
        <v>5</v>
      </c>
      <c r="B10" s="302"/>
      <c r="C10" s="308"/>
    </row>
    <row r="11" spans="1:16" ht="19.5" customHeight="1" x14ac:dyDescent="0.2">
      <c r="A11" s="39">
        <v>6</v>
      </c>
      <c r="B11" s="302"/>
      <c r="C11" s="308"/>
    </row>
    <row r="12" spans="1:16" ht="19.5" customHeight="1" x14ac:dyDescent="0.2">
      <c r="A12" s="39">
        <v>7</v>
      </c>
      <c r="B12" s="302"/>
      <c r="C12" s="308"/>
    </row>
    <row r="13" spans="1:16" ht="19.5" customHeight="1" x14ac:dyDescent="0.2">
      <c r="A13" s="39">
        <v>8</v>
      </c>
      <c r="B13" s="302"/>
      <c r="C13" s="308"/>
    </row>
    <row r="14" spans="1:16" ht="19.5" customHeight="1" x14ac:dyDescent="0.2">
      <c r="A14" s="39">
        <v>9</v>
      </c>
      <c r="B14" s="302"/>
      <c r="C14" s="308"/>
    </row>
    <row r="15" spans="1:16" ht="19.5" customHeight="1" x14ac:dyDescent="0.2">
      <c r="A15" s="39">
        <v>10</v>
      </c>
      <c r="B15" s="302"/>
      <c r="C15" s="308"/>
    </row>
    <row r="16" spans="1:16" ht="19.5" customHeight="1" x14ac:dyDescent="0.2">
      <c r="A16" s="39">
        <v>11</v>
      </c>
      <c r="B16" s="302"/>
      <c r="C16" s="308"/>
    </row>
    <row r="17" spans="1:3" ht="19.5" customHeight="1" x14ac:dyDescent="0.2">
      <c r="A17" s="39">
        <v>12</v>
      </c>
      <c r="B17" s="302"/>
      <c r="C17" s="308"/>
    </row>
    <row r="18" spans="1:3" ht="19.5" customHeight="1" x14ac:dyDescent="0.2">
      <c r="A18" s="39">
        <v>13</v>
      </c>
      <c r="B18" s="302"/>
      <c r="C18" s="308"/>
    </row>
    <row r="19" spans="1:3" ht="19.5" customHeight="1" x14ac:dyDescent="0.2">
      <c r="A19" s="39">
        <v>14</v>
      </c>
      <c r="B19" s="302"/>
      <c r="C19" s="308"/>
    </row>
    <row r="20" spans="1:3" ht="19.5" customHeight="1" x14ac:dyDescent="0.2">
      <c r="A20" s="39">
        <v>15</v>
      </c>
      <c r="B20" s="302"/>
      <c r="C20" s="308"/>
    </row>
    <row r="21" spans="1:3" ht="19.5" customHeight="1" x14ac:dyDescent="0.2">
      <c r="A21" s="39">
        <v>16</v>
      </c>
      <c r="B21" s="302"/>
      <c r="C21" s="308"/>
    </row>
    <row r="22" spans="1:3" ht="19.5" customHeight="1" x14ac:dyDescent="0.2">
      <c r="A22" s="39">
        <v>17</v>
      </c>
      <c r="B22" s="302"/>
      <c r="C22" s="308"/>
    </row>
    <row r="23" spans="1:3" ht="19.5" customHeight="1" x14ac:dyDescent="0.2">
      <c r="A23" s="39">
        <v>18</v>
      </c>
      <c r="B23" s="302"/>
      <c r="C23" s="308"/>
    </row>
    <row r="24" spans="1:3" ht="19.5" customHeight="1" x14ac:dyDescent="0.2">
      <c r="A24" s="39">
        <v>19</v>
      </c>
      <c r="B24" s="302"/>
      <c r="C24" s="308"/>
    </row>
    <row r="25" spans="1:3" ht="19.5" customHeight="1" x14ac:dyDescent="0.2">
      <c r="A25" s="39">
        <v>20</v>
      </c>
      <c r="B25" s="302"/>
      <c r="C25" s="308"/>
    </row>
    <row r="26" spans="1:3" ht="19.5" customHeight="1" x14ac:dyDescent="0.2">
      <c r="A26" s="39">
        <v>21</v>
      </c>
      <c r="B26" s="302"/>
      <c r="C26" s="308"/>
    </row>
    <row r="27" spans="1:3" ht="19.5" customHeight="1" x14ac:dyDescent="0.2">
      <c r="A27" s="39">
        <v>22</v>
      </c>
      <c r="B27" s="302"/>
      <c r="C27" s="308"/>
    </row>
    <row r="28" spans="1:3" ht="19.5" customHeight="1" x14ac:dyDescent="0.2">
      <c r="A28" s="39">
        <v>23</v>
      </c>
      <c r="B28" s="302"/>
      <c r="C28" s="308"/>
    </row>
    <row r="29" spans="1:3" ht="19.5" customHeight="1" x14ac:dyDescent="0.2">
      <c r="A29" s="39">
        <v>24</v>
      </c>
      <c r="B29" s="302"/>
      <c r="C29" s="308"/>
    </row>
    <row r="30" spans="1:3" ht="19.5" customHeight="1" x14ac:dyDescent="0.2">
      <c r="A30" s="39">
        <v>25</v>
      </c>
      <c r="B30" s="302"/>
      <c r="C30" s="308"/>
    </row>
    <row r="31" spans="1:3" ht="19.5" customHeight="1" x14ac:dyDescent="0.2">
      <c r="A31" s="39">
        <v>26</v>
      </c>
      <c r="B31" s="302"/>
      <c r="C31" s="308"/>
    </row>
    <row r="32" spans="1:3" ht="19.5" customHeight="1" x14ac:dyDescent="0.2">
      <c r="A32" s="39">
        <v>27</v>
      </c>
      <c r="B32" s="302"/>
      <c r="C32" s="308"/>
    </row>
    <row r="33" spans="1:3" ht="19.5" customHeight="1" x14ac:dyDescent="0.2">
      <c r="A33" s="39">
        <v>28</v>
      </c>
      <c r="B33" s="302"/>
      <c r="C33" s="308"/>
    </row>
    <row r="34" spans="1:3" ht="19.5" customHeight="1" x14ac:dyDescent="0.2">
      <c r="A34" s="39">
        <v>29</v>
      </c>
      <c r="B34" s="303"/>
      <c r="C34" s="309"/>
    </row>
    <row r="35" spans="1:3" ht="19.5" customHeight="1" x14ac:dyDescent="0.2">
      <c r="A35" s="39">
        <v>30</v>
      </c>
      <c r="B35" s="303"/>
      <c r="C35" s="309"/>
    </row>
    <row r="36" spans="1:3" ht="19.5" customHeight="1" x14ac:dyDescent="0.2">
      <c r="A36" s="39">
        <v>31</v>
      </c>
      <c r="B36" s="303"/>
      <c r="C36" s="309"/>
    </row>
    <row r="37" spans="1:3" ht="19.5" customHeight="1" x14ac:dyDescent="0.2">
      <c r="A37" s="39">
        <v>32</v>
      </c>
      <c r="B37" s="303"/>
      <c r="C37" s="309"/>
    </row>
    <row r="38" spans="1:3" ht="19.5" customHeight="1" x14ac:dyDescent="0.2">
      <c r="A38" s="39">
        <v>33</v>
      </c>
      <c r="B38" s="303"/>
      <c r="C38" s="309"/>
    </row>
    <row r="39" spans="1:3" ht="19.5" customHeight="1" x14ac:dyDescent="0.2">
      <c r="A39" s="39">
        <v>34</v>
      </c>
      <c r="B39" s="303"/>
      <c r="C39" s="309"/>
    </row>
    <row r="40" spans="1:3" ht="19.5" customHeight="1" x14ac:dyDescent="0.2">
      <c r="A40" s="39">
        <v>35</v>
      </c>
      <c r="B40" s="303"/>
      <c r="C40" s="309"/>
    </row>
    <row r="41" spans="1:3" ht="19.5" customHeight="1" thickBot="1" x14ac:dyDescent="0.25">
      <c r="A41" s="40">
        <v>36</v>
      </c>
      <c r="B41" s="304"/>
      <c r="C41" s="310"/>
    </row>
    <row r="42" spans="1:3" x14ac:dyDescent="0.2">
      <c r="B42" s="11">
        <f>COUNTA(B6:B41)</f>
        <v>3</v>
      </c>
    </row>
  </sheetData>
  <sheetProtection algorithmName="SHA-512" hashValue="yW7rdok7PU1qRRE4ibpMhC/U3Jo26+9k5KO/u4XnYLG+74dFmTwdK9O8QaItqaGwe3dWLcTUzVEDZ7fDeHpErQ==" saltValue="qce73PcaRS2VvVOJEQbXJw==" spinCount="100000" sheet="1"/>
  <mergeCells count="4">
    <mergeCell ref="A5:B5"/>
    <mergeCell ref="K5:L5"/>
    <mergeCell ref="E6:F6"/>
    <mergeCell ref="E5:I5"/>
  </mergeCells>
  <phoneticPr fontId="3" type="noConversion"/>
  <conditionalFormatting sqref="B6:C33">
    <cfRule type="expression" priority="1" stopIfTrue="1">
      <formula>$M6=""</formula>
    </cfRule>
    <cfRule type="expression" dxfId="1079" priority="2" stopIfTrue="1">
      <formula>$M6&gt;9</formula>
    </cfRule>
    <cfRule type="expression" dxfId="1078" priority="3" stopIfTrue="1">
      <formula>$M6&lt;0</formula>
    </cfRule>
  </conditionalFormatting>
  <pageMargins left="0.75" right="0.75" top="1" bottom="1" header="0.5" footer="0.5"/>
  <pageSetup paperSize="9" scale="83" orientation="landscape" horizontalDpi="4294967293" r:id="rId1"/>
  <headerFooter alignWithMargins="0">
    <oddFooter>&amp;L© Meesterharrie / Harrie Meinen</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V39"/>
  <sheetViews>
    <sheetView showGridLines="0" showRowColHeaders="0" zoomScale="75" zoomScaleNormal="75" workbookViewId="0">
      <selection activeCell="F4" sqref="F4"/>
    </sheetView>
  </sheetViews>
  <sheetFormatPr defaultRowHeight="12.75" x14ac:dyDescent="0.2"/>
  <cols>
    <col min="1" max="1" width="4.140625" bestFit="1" customWidth="1"/>
    <col min="2" max="2" width="20.7109375" style="33" customWidth="1"/>
    <col min="3" max="3" width="4" customWidth="1"/>
    <col min="5" max="5" width="18" customWidth="1"/>
    <col min="6" max="10" width="11.140625" bestFit="1" customWidth="1"/>
    <col min="11" max="11" width="9.28515625" bestFit="1" customWidth="1"/>
    <col min="12" max="12" width="9.85546875" bestFit="1" customWidth="1"/>
    <col min="19" max="19" width="18.140625" style="1" bestFit="1" customWidth="1"/>
    <col min="20" max="20" width="12.85546875" style="1" customWidth="1"/>
    <col min="21" max="21" width="18.42578125" style="1" bestFit="1" customWidth="1"/>
    <col min="22" max="22" width="15.5703125" style="1" bestFit="1" customWidth="1"/>
  </cols>
  <sheetData>
    <row r="1" spans="1:22" ht="13.5" thickBot="1" x14ac:dyDescent="0.25"/>
    <row r="2" spans="1:22" ht="21.75" thickBot="1" x14ac:dyDescent="0.45">
      <c r="A2" s="41"/>
      <c r="B2" s="42" t="str">
        <f>BEGINBLAD!A5</f>
        <v>namen leerlingen:</v>
      </c>
      <c r="D2" s="354" t="s">
        <v>7</v>
      </c>
      <c r="E2" s="361"/>
      <c r="F2" s="311">
        <v>5</v>
      </c>
      <c r="G2" s="355" t="str">
        <f>VLOOKUP($F$4,BEGINBLAD!A1:C41,2)</f>
        <v>leerling 1</v>
      </c>
      <c r="H2" s="355"/>
      <c r="I2" s="355"/>
      <c r="J2" s="355"/>
      <c r="K2" s="355"/>
      <c r="L2" s="355"/>
      <c r="M2" s="355"/>
      <c r="N2" s="356"/>
      <c r="S2" s="220" t="s">
        <v>106</v>
      </c>
      <c r="T2" s="232" t="s">
        <v>55</v>
      </c>
      <c r="U2" s="232" t="s">
        <v>107</v>
      </c>
      <c r="V2" s="233" t="s">
        <v>108</v>
      </c>
    </row>
    <row r="3" spans="1:22" ht="13.5" thickBot="1" x14ac:dyDescent="0.25">
      <c r="A3" s="37">
        <f>BEGINBLAD!A6</f>
        <v>1</v>
      </c>
      <c r="B3" s="38" t="str">
        <f>BEGINBLAD!B6</f>
        <v>leerling 1</v>
      </c>
    </row>
    <row r="4" spans="1:22" ht="21.75" thickBot="1" x14ac:dyDescent="0.45">
      <c r="A4" s="37">
        <f>BEGINBLAD!A7</f>
        <v>2</v>
      </c>
      <c r="B4" s="38" t="str">
        <f>BEGINBLAD!B7</f>
        <v>leerling 2</v>
      </c>
      <c r="D4" s="352" t="s">
        <v>24</v>
      </c>
      <c r="E4" s="353"/>
      <c r="F4" s="217">
        <v>1</v>
      </c>
      <c r="G4" s="357" t="s">
        <v>145</v>
      </c>
      <c r="H4" s="358"/>
      <c r="I4" s="359">
        <f>VLOOKUP($F$4,BEGINBLAD!A6:C41,3)</f>
        <v>37358</v>
      </c>
      <c r="J4" s="359"/>
      <c r="K4" s="359"/>
      <c r="L4" s="359"/>
      <c r="M4" s="359"/>
      <c r="N4" s="360"/>
      <c r="S4" s="220" t="s">
        <v>109</v>
      </c>
      <c r="T4" s="224" t="str">
        <f>VLOOKUP($F$4,'RIO - M5'!$A$17:$AB$52,10)</f>
        <v>C</v>
      </c>
      <c r="U4" s="231">
        <f>VLOOKUP($F$4,'RIO - M5'!$A$17:$AB$52,11)</f>
        <v>2.4</v>
      </c>
      <c r="V4" s="230">
        <v>1</v>
      </c>
    </row>
    <row r="5" spans="1:22" x14ac:dyDescent="0.2">
      <c r="A5" s="37">
        <f>BEGINBLAD!A8</f>
        <v>3</v>
      </c>
      <c r="B5" s="38" t="str">
        <f>BEGINBLAD!B8</f>
        <v>leerling 3</v>
      </c>
    </row>
    <row r="6" spans="1:22" ht="15" x14ac:dyDescent="0.3">
      <c r="A6" s="37">
        <f>BEGINBLAD!A9</f>
        <v>4</v>
      </c>
      <c r="B6" s="38">
        <f>BEGINBLAD!B9</f>
        <v>0</v>
      </c>
      <c r="S6" s="239" t="s">
        <v>8</v>
      </c>
      <c r="T6" s="246" t="str">
        <f>VLOOKUP($F$4,'RIO - M5'!$A$17:$AB$52,15)</f>
        <v>A</v>
      </c>
      <c r="U6" s="240">
        <f>VLOOKUP($F$4,'RIO - M5'!$A$17:$AB$52,16)</f>
        <v>4.4000000000000004</v>
      </c>
      <c r="V6" s="241">
        <f>VLOOKUP($F$4,'RIO - M5'!$A$17:$AB$52,17)</f>
        <v>1.8333333333333335</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t="str">
        <f>VLOOKUP($F$4,'RIO - M5'!$A$17:$AB$52,18)</f>
        <v>C</v>
      </c>
      <c r="U8" s="227">
        <f>VLOOKUP($F$4,'RIO - M5'!$A$17:$AB$52,19)</f>
        <v>2.4</v>
      </c>
      <c r="V8" s="225">
        <f>VLOOKUP($F$4,'RIO - M5'!$A$17:$AB$52,20)</f>
        <v>1</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f>VLOOKUP($F$4,'RIO - M5'!$A$17:$AB$52,17)</f>
        <v>1.8333333333333335</v>
      </c>
      <c r="G10" s="219">
        <f>VLOOKUP($F$4,'RIO - M5'!$A$17:$AB$52,20)</f>
        <v>1</v>
      </c>
      <c r="H10" s="219">
        <f>VLOOKUP($F$4,'RIO - M5'!$A$17:$AB$52,23)</f>
        <v>0.54166666666666674</v>
      </c>
      <c r="I10" s="219" t="str">
        <f>VLOOKUP($F$4,'RIO - M5'!$A$17:$AB$52,26)</f>
        <v/>
      </c>
      <c r="J10" s="219" t="str">
        <f>VLOOKUP($F$4,'RIO - M5'!$A$17:$AC$52,29)</f>
        <v/>
      </c>
      <c r="K10" s="219" t="str">
        <f>VLOOKUP($F$4,'RIO - M5'!$A$17:$AB$52,10)</f>
        <v>C</v>
      </c>
      <c r="L10" s="32"/>
      <c r="M10" s="32"/>
      <c r="S10" s="221" t="s">
        <v>10</v>
      </c>
      <c r="T10" s="247" t="str">
        <f>VLOOKUP($F$4,'RIO - M5'!$A$17:$AB$52,21)</f>
        <v>D</v>
      </c>
      <c r="U10" s="227">
        <f>VLOOKUP($F$4,'RIO - M5'!$A$17:$AB$52,22)</f>
        <v>1.3</v>
      </c>
      <c r="V10" s="225">
        <f>VLOOKUP($F$4,'RIO - M5'!$A$17:$AB$52,23)</f>
        <v>0.54166666666666674</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f>F10*L12</f>
        <v>1.1000000000000001</v>
      </c>
      <c r="G12" s="218">
        <f>G10*L12</f>
        <v>0.6</v>
      </c>
      <c r="H12" s="218">
        <f>H10*L12</f>
        <v>0.32500000000000001</v>
      </c>
      <c r="I12" s="218" t="e">
        <f>I10*L12</f>
        <v>#VALUE!</v>
      </c>
      <c r="J12" s="218" t="e">
        <f>J10*L12</f>
        <v>#VALUE!</v>
      </c>
      <c r="K12" s="218">
        <f>0.8*L12</f>
        <v>0.48</v>
      </c>
      <c r="L12" s="218">
        <f>IF(K10="A",1,IF(K10="B",0.8,IF(K10="C",0.6,IF(K10="D",0.4,IF(K10="E",0.2)))))</f>
        <v>0.6</v>
      </c>
      <c r="S12" s="221" t="s">
        <v>11</v>
      </c>
      <c r="T12" s="247">
        <f>VLOOKUP($F$4,'RIO - M5'!$A$17:$AB$52,24)</f>
        <v>0</v>
      </c>
      <c r="U12" s="227">
        <f>VLOOKUP($F$4,'RIO - M5'!$A$17:$AB$52,25)</f>
        <v>0</v>
      </c>
      <c r="V12" s="225" t="str">
        <f>VLOOKUP($F$4,'RIO - M5'!$A$17:$AB$52,26)</f>
        <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f>VLOOKUP($F$4,'RIO - M5'!$A$17:$AC$52,27)</f>
        <v>0</v>
      </c>
      <c r="U14" s="229">
        <f>VLOOKUP($F$4,'RIO - M5'!$A$17:$AC$52,28)</f>
        <v>0</v>
      </c>
      <c r="V14" s="226" t="str">
        <f>VLOOKUP($F$4,'RIO - M5'!$A$17:$AC$52,29)</f>
        <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D</v>
      </c>
      <c r="U16" s="234">
        <f>AVERAGE(U6:U14)</f>
        <v>1.6200000000000003</v>
      </c>
      <c r="V16" s="235">
        <f>VLOOKUP($F$4,'RIO - M5'!$A$17:$AC$52,14)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f>(U4/8)*10</f>
        <v>3</v>
      </c>
    </row>
    <row r="20" spans="1:21" x14ac:dyDescent="0.2">
      <c r="A20" s="37">
        <f>BEGINBLAD!A23</f>
        <v>18</v>
      </c>
      <c r="B20" s="38">
        <f>BEGINBLAD!B23</f>
        <v>0</v>
      </c>
      <c r="U20" s="5">
        <f>U4*0.8</f>
        <v>1.92</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cgh2KzMXjXfZDWglzzgLTtGAzKMqf3kumVb6Qc0Ngml+4Fu1pma1DemPemR65+2gUAEyH/DE9fYT3zoYUsYjrg==" saltValue="Gx6xLSJiuB31tlwcyzs1JA==" spinCount="100000" sheet="1" objects="1" scenarios="1"/>
  <mergeCells count="5">
    <mergeCell ref="D4:E4"/>
    <mergeCell ref="D2:E2"/>
    <mergeCell ref="G2:N2"/>
    <mergeCell ref="G4:H4"/>
    <mergeCell ref="I4:N4"/>
  </mergeCells>
  <phoneticPr fontId="3" type="noConversion"/>
  <conditionalFormatting sqref="V6:V14">
    <cfRule type="cellIs" dxfId="749" priority="1" stopIfTrue="1" operator="between">
      <formula>0.001</formula>
      <formula>0.8</formula>
    </cfRule>
    <cfRule type="cellIs" dxfId="748" priority="2" stopIfTrue="1" operator="greaterThanOrEqual">
      <formula>1.3</formula>
    </cfRule>
    <cfRule type="cellIs" dxfId="747" priority="3" stopIfTrue="1" operator="greaterThanOrEqual">
      <formula>1</formula>
    </cfRule>
  </conditionalFormatting>
  <conditionalFormatting sqref="V16">
    <cfRule type="cellIs" dxfId="746" priority="4" stopIfTrue="1" operator="equal">
      <formula>0</formula>
    </cfRule>
  </conditionalFormatting>
  <conditionalFormatting sqref="T6">
    <cfRule type="expression" dxfId="745" priority="5" stopIfTrue="1">
      <formula>$V$6&gt;=1.3</formula>
    </cfRule>
    <cfRule type="expression" dxfId="744" priority="6" stopIfTrue="1">
      <formula>$V$6&lt;0.8</formula>
    </cfRule>
    <cfRule type="expression" dxfId="743" priority="7" stopIfTrue="1">
      <formula>$V$6&lt;1</formula>
    </cfRule>
  </conditionalFormatting>
  <conditionalFormatting sqref="T8">
    <cfRule type="expression" dxfId="742" priority="8" stopIfTrue="1">
      <formula>$V$8&gt;=1.3</formula>
    </cfRule>
    <cfRule type="expression" dxfId="741" priority="9" stopIfTrue="1">
      <formula>$V$8&lt;0.8</formula>
    </cfRule>
    <cfRule type="expression" dxfId="740" priority="10" stopIfTrue="1">
      <formula>$V$8&lt;1</formula>
    </cfRule>
  </conditionalFormatting>
  <conditionalFormatting sqref="T10">
    <cfRule type="expression" dxfId="739" priority="11" stopIfTrue="1">
      <formula>$V$10&gt;=1.3</formula>
    </cfRule>
    <cfRule type="expression" dxfId="738" priority="12" stopIfTrue="1">
      <formula>$V$10&lt;0.8</formula>
    </cfRule>
    <cfRule type="expression" dxfId="737" priority="13" stopIfTrue="1">
      <formula>$V$10&lt;1</formula>
    </cfRule>
  </conditionalFormatting>
  <conditionalFormatting sqref="T12">
    <cfRule type="expression" dxfId="736" priority="14" stopIfTrue="1">
      <formula>$V$12&gt;=1.3</formula>
    </cfRule>
    <cfRule type="expression" dxfId="735" priority="15" stopIfTrue="1">
      <formula>$V$12&lt;0.8</formula>
    </cfRule>
    <cfRule type="expression" dxfId="734" priority="16" stopIfTrue="1">
      <formula>$V$12&lt;1</formula>
    </cfRule>
  </conditionalFormatting>
  <conditionalFormatting sqref="T14">
    <cfRule type="expression" dxfId="733" priority="17" stopIfTrue="1">
      <formula>$V$14&gt;=1.3</formula>
    </cfRule>
    <cfRule type="expression" dxfId="732" priority="18" stopIfTrue="1">
      <formula>$V$14&lt;0.8</formula>
    </cfRule>
    <cfRule type="expression" dxfId="731" priority="19" stopIfTrue="1">
      <formula>$V$14&lt;1</formula>
    </cfRule>
  </conditionalFormatting>
  <conditionalFormatting sqref="T16">
    <cfRule type="expression" dxfId="730" priority="20" stopIfTrue="1">
      <formula>$U$16&gt;=$U$19</formula>
    </cfRule>
    <cfRule type="expression" dxfId="729" priority="21" stopIfTrue="1">
      <formula>$U$16&lt;$U$20</formula>
    </cfRule>
    <cfRule type="expression" dxfId="728" priority="22" stopIfTrue="1">
      <formula>$T$16&lt;$U$4</formula>
    </cfRule>
  </conditionalFormatting>
  <pageMargins left="0.41" right="0.25" top="1" bottom="1" header="0.5" footer="0.5"/>
  <pageSetup paperSize="9" scale="64" orientation="landscape" horizontalDpi="4294967293" verticalDpi="0" r:id="rId1"/>
  <headerFooter alignWithMargins="0">
    <oddHeader>&amp;C&amp;14Ontwikkelings Perspectief (OP)</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5</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t="str">
        <f>BEGINBLAD!B6</f>
        <v>leerling 1</v>
      </c>
      <c r="D6" s="152">
        <v>4.0999999999999996</v>
      </c>
      <c r="E6" s="153">
        <v>2.4</v>
      </c>
      <c r="F6" s="153">
        <v>2.7</v>
      </c>
      <c r="G6" s="153">
        <v>0.8</v>
      </c>
      <c r="H6" s="153">
        <v>0.8</v>
      </c>
      <c r="I6" s="162">
        <v>4.5</v>
      </c>
      <c r="J6" s="43">
        <f t="shared" ref="J6:J41" si="0">SUM(D6:I6)</f>
        <v>15.3</v>
      </c>
      <c r="K6" s="166">
        <f t="shared" ref="K6:K41" si="1">COUNTA(D6:I6)</f>
        <v>6</v>
      </c>
      <c r="L6" s="165"/>
      <c r="M6" s="156">
        <f t="shared" ref="M6:M41" si="2">IF(K6=0,"",IF(K6&gt;0,J6/K6))</f>
        <v>2.5500000000000003</v>
      </c>
      <c r="N6" s="157" t="str">
        <f t="shared" ref="N6:N41" si="3">IF(M6="","",IF(M6&gt;=4.5,"A+",IF(M6&gt;=4,"A",IF(M6&gt;=3,"B",IF(M6&gt;2.3,"C",IF(M6&gt;=2,"C-",IF(M6&gt;=1,"D",IF(M6&gt;0,"E"))))))))</f>
        <v>C</v>
      </c>
      <c r="O6" s="24"/>
      <c r="P6" s="20"/>
    </row>
    <row r="7" spans="2:16" ht="19.5" customHeight="1" x14ac:dyDescent="0.2">
      <c r="B7" s="39">
        <v>2</v>
      </c>
      <c r="C7" s="27" t="str">
        <f>BEGINBLAD!B7</f>
        <v>leerling 2</v>
      </c>
      <c r="D7" s="152">
        <v>1.7</v>
      </c>
      <c r="E7" s="153">
        <v>1.3</v>
      </c>
      <c r="F7" s="153">
        <v>3.8</v>
      </c>
      <c r="G7" s="153">
        <v>3.3</v>
      </c>
      <c r="H7" s="153">
        <v>2.4</v>
      </c>
      <c r="I7" s="162">
        <v>1.4</v>
      </c>
      <c r="J7" s="43">
        <f t="shared" si="0"/>
        <v>13.9</v>
      </c>
      <c r="K7" s="166">
        <f t="shared" si="1"/>
        <v>6</v>
      </c>
      <c r="L7" s="165"/>
      <c r="M7" s="156">
        <f t="shared" si="2"/>
        <v>2.3166666666666669</v>
      </c>
      <c r="N7" s="157" t="str">
        <f t="shared" si="3"/>
        <v>C</v>
      </c>
      <c r="O7" s="19"/>
      <c r="P7" s="20"/>
    </row>
    <row r="8" spans="2:16" s="10" customFormat="1" ht="19.5" customHeight="1" x14ac:dyDescent="0.2">
      <c r="B8" s="39">
        <v>3</v>
      </c>
      <c r="C8" s="27" t="str">
        <f>BEGINBLAD!B8</f>
        <v>leerling 3</v>
      </c>
      <c r="D8" s="152">
        <v>2.5</v>
      </c>
      <c r="E8" s="153">
        <v>2.2000000000000002</v>
      </c>
      <c r="F8" s="153">
        <v>2.7</v>
      </c>
      <c r="G8" s="153">
        <v>2.4</v>
      </c>
      <c r="H8" s="153">
        <v>2.4</v>
      </c>
      <c r="I8" s="162">
        <v>3.4</v>
      </c>
      <c r="J8" s="43">
        <f t="shared" si="0"/>
        <v>15.600000000000001</v>
      </c>
      <c r="K8" s="166">
        <f t="shared" si="1"/>
        <v>6</v>
      </c>
      <c r="L8" s="165"/>
      <c r="M8" s="156">
        <f t="shared" si="2"/>
        <v>2.6</v>
      </c>
      <c r="N8" s="157" t="str">
        <f t="shared" si="3"/>
        <v>C</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f t="shared" ref="D42:K42" si="4">AVERAGE(D6:D41)</f>
        <v>2.7666666666666671</v>
      </c>
      <c r="E42" s="169">
        <f t="shared" si="4"/>
        <v>1.9666666666666668</v>
      </c>
      <c r="F42" s="169">
        <f t="shared" si="4"/>
        <v>3.0666666666666664</v>
      </c>
      <c r="G42" s="169">
        <f t="shared" si="4"/>
        <v>2.1666666666666665</v>
      </c>
      <c r="H42" s="169">
        <f t="shared" si="4"/>
        <v>1.8666666666666665</v>
      </c>
      <c r="I42" s="169">
        <f t="shared" si="4"/>
        <v>3.1</v>
      </c>
      <c r="J42" s="169">
        <f t="shared" si="4"/>
        <v>1.2444444444444445</v>
      </c>
      <c r="K42" s="169">
        <f t="shared" si="4"/>
        <v>0.5</v>
      </c>
      <c r="L42" s="170"/>
      <c r="M42" s="169">
        <f>AVERAGE(M6:M41)</f>
        <v>2.4888888888888889</v>
      </c>
    </row>
    <row r="43" spans="2:16" ht="19.5" customHeight="1" x14ac:dyDescent="0.2">
      <c r="C43" s="168" t="s">
        <v>91</v>
      </c>
      <c r="D43" s="171" t="str">
        <f t="shared" ref="D43:M43" si="5">IF(D42="","",IF(D42&gt;=4.5,"A+",IF(D42&gt;=4,"A",IF(D42&gt;=3,"B",IF(D42&gt;2.3,"C",IF(D42&gt;=2,"C-",IF(D42&gt;=1,"D",IF(D42&gt;0,"E"))))))))</f>
        <v>C</v>
      </c>
      <c r="E43" s="171" t="str">
        <f t="shared" si="5"/>
        <v>D</v>
      </c>
      <c r="F43" s="171" t="str">
        <f t="shared" si="5"/>
        <v>B</v>
      </c>
      <c r="G43" s="171" t="str">
        <f t="shared" si="5"/>
        <v>C-</v>
      </c>
      <c r="H43" s="171" t="str">
        <f t="shared" si="5"/>
        <v>D</v>
      </c>
      <c r="I43" s="171" t="str">
        <f t="shared" si="5"/>
        <v>B</v>
      </c>
      <c r="J43" s="171" t="str">
        <f t="shared" si="5"/>
        <v>D</v>
      </c>
      <c r="K43" s="171" t="str">
        <f t="shared" si="5"/>
        <v>E</v>
      </c>
      <c r="L43" s="172" t="str">
        <f t="shared" si="5"/>
        <v/>
      </c>
      <c r="M43" s="171" t="str">
        <f t="shared" si="5"/>
        <v>C</v>
      </c>
    </row>
    <row r="44" spans="2:16" x14ac:dyDescent="0.2">
      <c r="C44" s="11">
        <f>BEGINBLAD!$B$42</f>
        <v>3</v>
      </c>
    </row>
  </sheetData>
  <sheetProtection algorithmName="SHA-512" hashValue="MP3C8vUq2VBesxd/eriRJUDKJgojAxlyB6OTUWgcpHeOIZTbEirK6+DV84nxaTCfXX07fT+tlPtf0DDsICLUBg==" saltValue="bGMYt9SZJDwqwKC00ycqKw==" spinCount="100000" sheet="1"/>
  <mergeCells count="5">
    <mergeCell ref="B2:C2"/>
    <mergeCell ref="E2:F2"/>
    <mergeCell ref="M2:N2"/>
    <mergeCell ref="G2:H2"/>
    <mergeCell ref="I2:L2"/>
  </mergeCells>
  <phoneticPr fontId="3" type="noConversion"/>
  <conditionalFormatting sqref="C6:C41">
    <cfRule type="expression" dxfId="727" priority="1" stopIfTrue="1">
      <formula>$N6=""</formula>
    </cfRule>
    <cfRule type="expression" dxfId="726" priority="2" stopIfTrue="1">
      <formula>$N6="A+"</formula>
    </cfRule>
  </conditionalFormatting>
  <conditionalFormatting sqref="N6:N41 D43:M43">
    <cfRule type="cellIs" dxfId="725" priority="3" stopIfTrue="1" operator="between">
      <formula>"D"</formula>
      <formula>"E"</formula>
    </cfRule>
    <cfRule type="cellIs" dxfId="724" priority="4" stopIfTrue="1" operator="between">
      <formula>"B"</formula>
      <formula>"B+"</formula>
    </cfRule>
    <cfRule type="cellIs" dxfId="723" priority="5" stopIfTrue="1" operator="between">
      <formula>"A"</formula>
      <formula>"A+"</formula>
    </cfRule>
  </conditionalFormatting>
  <conditionalFormatting sqref="D6:I41">
    <cfRule type="cellIs" dxfId="722" priority="6" stopIfTrue="1" operator="between">
      <formula>0.1</formula>
      <formula>1.9</formula>
    </cfRule>
    <cfRule type="cellIs" dxfId="721" priority="7" stopIfTrue="1" operator="between">
      <formula>3</formula>
      <formula>3.9</formula>
    </cfRule>
    <cfRule type="cellIs" dxfId="720" priority="8" stopIfTrue="1" operator="between">
      <formula>4</formula>
      <formula>5</formula>
    </cfRule>
  </conditionalFormatting>
  <conditionalFormatting sqref="M6:M41 D42:M42">
    <cfRule type="cellIs" dxfId="719" priority="9" stopIfTrue="1" operator="between">
      <formula>0.001</formula>
      <formula>1.999</formula>
    </cfRule>
    <cfRule type="cellIs" dxfId="718" priority="10" stopIfTrue="1" operator="between">
      <formula>3</formula>
      <formula>3.999</formula>
    </cfRule>
    <cfRule type="cellIs" dxfId="717"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sheetPr>
  <dimension ref="A1:BG72"/>
  <sheetViews>
    <sheetView showGridLines="0" showRowColHeaders="0" zoomScale="85" zoomScaleNormal="85" workbookViewId="0">
      <selection activeCell="J17" sqref="J17"/>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29">
        <f>'NW - E5'!$D$2</f>
        <v>5</v>
      </c>
      <c r="K1" s="331"/>
      <c r="L1" s="244"/>
      <c r="M1" s="32"/>
      <c r="N1" s="323" t="s">
        <v>23</v>
      </c>
      <c r="O1" s="323"/>
      <c r="P1" s="214"/>
      <c r="Q1" s="214"/>
      <c r="U1" s="5" t="b">
        <f>IF($J$1=3,"ja",IF($J$1="3A","ja",IF($J$1="3B","ja",IF($J$1="3C","ja"))))</f>
        <v>0</v>
      </c>
      <c r="X1" s="5" t="b">
        <f>IF($J$1=4,"ja",IF($J$1="4A","ja",IF($J$1="4B","ja",IF($J$1="4C","ja"))))</f>
        <v>0</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0"/>
      <c r="K2" s="322"/>
      <c r="L2" s="245"/>
      <c r="M2" s="32"/>
      <c r="N2" s="324" t="s">
        <v>30</v>
      </c>
      <c r="O2" s="324"/>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25"/>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7"/>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4" t="s">
        <v>35</v>
      </c>
      <c r="P9" s="345"/>
      <c r="Q9" s="345"/>
      <c r="R9" s="345"/>
      <c r="S9" s="345"/>
      <c r="T9" s="345"/>
      <c r="U9" s="345"/>
      <c r="V9" s="345"/>
      <c r="W9" s="346"/>
      <c r="X9" s="344" t="s">
        <v>36</v>
      </c>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199"/>
      <c r="AW9" s="328" t="s">
        <v>113</v>
      </c>
      <c r="AX9" s="328"/>
      <c r="AY9" s="328"/>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t="str">
        <f>BEGINBLAD!B6</f>
        <v>leerling 1</v>
      </c>
      <c r="C17" s="110" t="str">
        <f>IF('RIO - M5'!C17="","",IF('RIO - M5'!C17&gt;"",'RIO - M5'!C17))</f>
        <v>C</v>
      </c>
      <c r="D17" s="149" t="str">
        <f>IF('NW - E5'!N6="","",IF('NW - E5'!N6="A+","A",IF('NW - E5'!N6="A","A",IF('NW - E5'!N6="B","B",IF('NW - E5'!N6="C","C",IF('NW - E5'!N6="C-","C",IF('NW - E5'!N6="D","D",IF('NW - E5'!N6="E","E"))))))))</f>
        <v>C</v>
      </c>
      <c r="E17" s="110"/>
      <c r="F17" s="192">
        <f t="shared" ref="F17:F52" si="0">IF(C17="","",IF(C17="A",5,IF(C17="B",4,IF(C17="C",3,IF(C17="D",2,IF(C17="E",1))))))</f>
        <v>3</v>
      </c>
      <c r="G17" s="192">
        <f t="shared" ref="G17:G52" si="1">IF(D17="","",IF(D17="A",5,IF(D17="B",4,IF(D17="C",3,IF(D17="D",2,IF(D17="E",1))))))</f>
        <v>3</v>
      </c>
      <c r="H17" s="191" t="str">
        <f t="shared" ref="H17:H52" si="2">IF(E17="","",IF(E17="A",5,IF(E17="B",4,IF(E17="C",3,IF(E17="D",2,IF(E17="E",1))))))</f>
        <v/>
      </c>
      <c r="I17" s="193">
        <f t="shared" ref="I17:I52" si="3">IF(F17="",H17,IF(H17="",F17,IF(F17&gt;H17,F17,IF(F17&lt;H17,H17,IF(F17=H17,F17)))))</f>
        <v>3</v>
      </c>
      <c r="J17" s="208" t="str">
        <f t="shared" ref="J17:J52" si="4">IF(I17="","",IF(I17=5,"A",IF(I17=4,"B",IF(I17=3,"C",IF(I17=2,"D",IF(I17=1,"E"))))))</f>
        <v>C</v>
      </c>
      <c r="K17" s="210">
        <f t="shared" ref="K17:K52" si="5">IF(I17="","",IF(I17=5,4,IF(I17=4,3.2,IF(I17=3,2.4,IF(I17=2,1.6,IF(I17=1,0.8))))))</f>
        <v>2.4</v>
      </c>
      <c r="L17" s="188"/>
      <c r="M17" s="104"/>
      <c r="N17" s="105"/>
      <c r="O17" s="250" t="str">
        <f t="shared" ref="O17:O52" si="6">IF(P17=0,0,IF(P17&gt;=4,"A",IF(P17&gt;=3,"B",IF(P17&gt;2.3,"C",IF(P17&gt;=1,"D",IF(P17&gt;0,"E"))))))</f>
        <v>A</v>
      </c>
      <c r="P17" s="249">
        <f>IF('NW - E5'!D6=0,0,IF('NW - E5'!D6&gt;=0,'NW - E5'!D6))</f>
        <v>4.0999999999999996</v>
      </c>
      <c r="Q17" s="206">
        <f t="shared" ref="Q17:Q52" si="7">IF(K17="","",IF(P17=0,"",IF(P17&gt;0,P17/K17)))</f>
        <v>1.7083333333333333</v>
      </c>
      <c r="R17" s="250" t="str">
        <f t="shared" ref="R17:R52" si="8">IF(S17=0,0,IF(S17&gt;=4,"A",IF(S17&gt;=3,"B",IF(S17&gt;2.3,"C",IF(S17&gt;=1,"D",IF(S17&gt;0,"E"))))))</f>
        <v>C</v>
      </c>
      <c r="S17" s="249">
        <f>IF('NW - E5'!F6=0,0,IF('NW - E5'!F6&gt;=0,'NW - E5'!F6))</f>
        <v>2.7</v>
      </c>
      <c r="T17" s="206">
        <f t="shared" ref="T17:T52" si="9">IF(K17="","",IF(S17=0,"",IF(S17&gt;0,S17/K17)))</f>
        <v>1.1250000000000002</v>
      </c>
      <c r="U17" s="250" t="str">
        <f t="shared" ref="U17:U52" si="10">IF(V17=0,0,IF(V17&gt;=4,"A",IF(V17&gt;=3,"B",IF(V17&gt;2.3,"C",IF(V17&gt;=1,"D",IF(V17&gt;0,"E"))))))</f>
        <v>C</v>
      </c>
      <c r="V17" s="249">
        <f>IF('NW - E5'!E6=0,0,IF('NW - E5'!E6&gt;=0,'NW - E5'!E6))</f>
        <v>2.4</v>
      </c>
      <c r="W17" s="206">
        <f t="shared" ref="W17:W52" si="11">IF(K17="","",IF(V17=0,"",IF(V17&gt;0,V17/K17)))</f>
        <v>1</v>
      </c>
      <c r="X17" s="250" t="str">
        <f t="shared" ref="X17:X52" si="12">IF(Y17=0,0,IF(Y17&gt;=4,"A",IF(Y17&gt;=3,"B",IF(Y17&gt;2.3,"C",IF(Y17&gt;=1,"D",IF(Y17&gt;0,"E"))))))</f>
        <v>A</v>
      </c>
      <c r="Y17" s="249">
        <f>IF('NW - E5'!I6=0,0,IF('NW - E5'!I6&gt;=0,'NW - E5'!I6))</f>
        <v>4.5</v>
      </c>
      <c r="Z17" s="206">
        <f t="shared" ref="Z17:Z52" si="13">IF(K17="","",IF(Y17=0,"",IF(Y17&gt;0,Y17/K17)))</f>
        <v>1.875</v>
      </c>
      <c r="AA17" s="250" t="str">
        <f t="shared" ref="AA17:AA52" si="14">IF(AB17=0,0,IF(AB17&gt;=4,"A",IF(AB17&gt;=3,"B",IF(AB17&gt;2.3,"C",IF(AB17&gt;=1,"D",IF(AB17&gt;0,"E"))))))</f>
        <v>E</v>
      </c>
      <c r="AB17" s="249">
        <f>IF('NW - E5'!H6=0,0,IF('NW - E5'!H6&gt;=0,'NW - E5'!H6))</f>
        <v>0.8</v>
      </c>
      <c r="AC17" s="206">
        <f t="shared" ref="AC17:AC52" si="15">IF(K17="","",IF(AB17=0,"",IF(AB17&gt;0,AB17/K17)))</f>
        <v>0.33333333333333337</v>
      </c>
      <c r="AD17" s="1">
        <f>IF($J17="","",IF(O17=0,"",IF(Q17&lt;0.8,"",IF(Q17&gt;=0.8,1))))</f>
        <v>1</v>
      </c>
      <c r="AE17" s="1">
        <f t="shared" ref="AE17:AE52" si="16">IF($J17="","",IF(R17=0,"",IF(T17&lt;0.8,"",IF(T17&gt;=0.8,1))))</f>
        <v>1</v>
      </c>
      <c r="AF17" s="1">
        <f t="shared" ref="AF17:AF52" si="17">IF($J17="","",IF(U17=0,"",IF(W17&lt;0.8,"",IF(W17&gt;=0.8,1))))</f>
        <v>1</v>
      </c>
      <c r="AG17" s="1">
        <f t="shared" ref="AG17:AG52" si="18">IF($J17="","",IF(X17=0,"",IF(Z17&lt;0.8,"",IF(Z17&gt;=0.8,1))))</f>
        <v>1</v>
      </c>
      <c r="AH17" s="1" t="str">
        <f t="shared" ref="AH17:AH52" si="19">IF($J17="","",IF(AA17=0,"",IF(AC17&lt;0.8,"",IF(AC17&gt;=0.8,1))))</f>
        <v/>
      </c>
      <c r="AI17" s="1">
        <f t="shared" ref="AI17:AI52" si="20">SUM(AD17:AH17)</f>
        <v>4</v>
      </c>
      <c r="AJ17" s="106" t="b">
        <f t="shared" ref="AJ17:AJ52" si="21">IF($J17="A",$AV17)</f>
        <v>0</v>
      </c>
      <c r="AK17" s="106" t="b">
        <f t="shared" ref="AK17:AK52" si="22">IF($J17="B",$AV17)</f>
        <v>0</v>
      </c>
      <c r="AL17" s="106">
        <f t="shared" ref="AL17:AL52" si="23">IF($J17="C",$AV17)</f>
        <v>0.8</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f>IF(J17="","",IF(J17&gt;0,COUNT(O17+R17+U17+X17+AA17)))</f>
        <v>0</v>
      </c>
      <c r="AU17" s="198">
        <f t="shared" ref="AU17:AU52" si="30">5-AT17</f>
        <v>5</v>
      </c>
      <c r="AV17" s="204">
        <f t="shared" ref="AV17:AV52" si="31">IF(AT17="","",IF(AU17=0,"",IF(AU17&gt;0,AI17/AU17)))</f>
        <v>0.8</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t="str">
        <f>BEGINBLAD!B7</f>
        <v>leerling 2</v>
      </c>
      <c r="C18" s="110" t="str">
        <f>IF('RIO - M5'!C18="","",IF('RIO - M5'!C18&gt;"",'RIO - M5'!C18))</f>
        <v>C</v>
      </c>
      <c r="D18" s="149" t="str">
        <f>IF('NW - E5'!N7="","",IF('NW - E5'!N7="A+","A",IF('NW - E5'!N7="A","A",IF('NW - E5'!N7="B","B",IF('NW - E5'!N7="C","C",IF('NW - E5'!N7="C-","C",IF('NW - E5'!N7="D","D",IF('NW - E5'!N7="E","E"))))))))</f>
        <v>C</v>
      </c>
      <c r="E18" s="110"/>
      <c r="F18" s="192">
        <f t="shared" si="0"/>
        <v>3</v>
      </c>
      <c r="G18" s="192">
        <f t="shared" si="1"/>
        <v>3</v>
      </c>
      <c r="H18" s="191" t="str">
        <f t="shared" si="2"/>
        <v/>
      </c>
      <c r="I18" s="193">
        <f t="shared" si="3"/>
        <v>3</v>
      </c>
      <c r="J18" s="208" t="str">
        <f t="shared" si="4"/>
        <v>C</v>
      </c>
      <c r="K18" s="210">
        <f t="shared" si="5"/>
        <v>2.4</v>
      </c>
      <c r="L18" s="189"/>
      <c r="M18" s="110"/>
      <c r="N18" s="117"/>
      <c r="O18" s="250" t="str">
        <f t="shared" si="6"/>
        <v>D</v>
      </c>
      <c r="P18" s="249">
        <f>IF('NW - E5'!D7=0,0,IF('NW - E5'!D7&gt;=0,'NW - E5'!D7))</f>
        <v>1.7</v>
      </c>
      <c r="Q18" s="206">
        <f t="shared" si="7"/>
        <v>0.70833333333333337</v>
      </c>
      <c r="R18" s="250" t="str">
        <f t="shared" si="8"/>
        <v>B</v>
      </c>
      <c r="S18" s="249">
        <f>IF('NW - E5'!F7=0,0,IF('NW - E5'!F7&gt;=0,'NW - E5'!F7))</f>
        <v>3.8</v>
      </c>
      <c r="T18" s="206">
        <f t="shared" si="9"/>
        <v>1.5833333333333333</v>
      </c>
      <c r="U18" s="250" t="str">
        <f t="shared" si="10"/>
        <v>D</v>
      </c>
      <c r="V18" s="249">
        <f>IF('NW - E5'!E7=0,0,IF('NW - E5'!E7&gt;=0,'NW - E5'!E7))</f>
        <v>1.3</v>
      </c>
      <c r="W18" s="206">
        <f t="shared" si="11"/>
        <v>0.54166666666666674</v>
      </c>
      <c r="X18" s="250" t="str">
        <f t="shared" si="12"/>
        <v>D</v>
      </c>
      <c r="Y18" s="249">
        <f>IF('NW - E5'!I7=0,0,IF('NW - E5'!I7&gt;=0,'NW - E5'!I7))</f>
        <v>1.4</v>
      </c>
      <c r="Z18" s="206">
        <f t="shared" si="13"/>
        <v>0.58333333333333337</v>
      </c>
      <c r="AA18" s="250" t="str">
        <f t="shared" si="14"/>
        <v>C</v>
      </c>
      <c r="AB18" s="249">
        <f>IF('NW - E5'!H7=0,0,IF('NW - E5'!H7&gt;=0,'NW - E5'!H7))</f>
        <v>2.4</v>
      </c>
      <c r="AC18" s="206">
        <f t="shared" si="15"/>
        <v>1</v>
      </c>
      <c r="AD18" s="1" t="str">
        <f t="shared" ref="AD18:AD52" si="39">IF(J18="","",IF(O18=0,"",IF(Q18&lt;0.8,"",IF(Q18&gt;=0.8,1))))</f>
        <v/>
      </c>
      <c r="AE18" s="1">
        <f t="shared" si="16"/>
        <v>1</v>
      </c>
      <c r="AF18" s="1" t="str">
        <f t="shared" si="17"/>
        <v/>
      </c>
      <c r="AG18" s="1" t="str">
        <f t="shared" si="18"/>
        <v/>
      </c>
      <c r="AH18" s="1">
        <f t="shared" si="19"/>
        <v>1</v>
      </c>
      <c r="AI18" s="1">
        <f t="shared" si="20"/>
        <v>2</v>
      </c>
      <c r="AJ18" s="106" t="b">
        <f t="shared" si="21"/>
        <v>0</v>
      </c>
      <c r="AK18" s="106" t="b">
        <f t="shared" si="22"/>
        <v>0</v>
      </c>
      <c r="AL18" s="106">
        <f t="shared" si="23"/>
        <v>0.4</v>
      </c>
      <c r="AM18" s="106" t="b">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f t="shared" ref="AT18:AT52" si="41">IF(J18="","",IF(J18&gt;0,COUNT(O18+R18+U18+X18+AA18)))</f>
        <v>0</v>
      </c>
      <c r="AU18" s="198">
        <f t="shared" si="30"/>
        <v>5</v>
      </c>
      <c r="AV18" s="204">
        <f t="shared" si="31"/>
        <v>0.4</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t="str">
        <f>BEGINBLAD!B8</f>
        <v>leerling 3</v>
      </c>
      <c r="C19" s="110" t="str">
        <f>IF('RIO - M5'!C19="","",IF('RIO - M5'!C19&gt;"",'RIO - M5'!C19))</f>
        <v>C</v>
      </c>
      <c r="D19" s="149" t="str">
        <f>IF('NW - E5'!N8="","",IF('NW - E5'!N8="A+","A",IF('NW - E5'!N8="A","A",IF('NW - E5'!N8="B","B",IF('NW - E5'!N8="C","C",IF('NW - E5'!N8="C-","C",IF('NW - E5'!N8="D","D",IF('NW - E5'!N8="E","E"))))))))</f>
        <v>C</v>
      </c>
      <c r="E19" s="110"/>
      <c r="F19" s="192">
        <f t="shared" si="0"/>
        <v>3</v>
      </c>
      <c r="G19" s="192">
        <f t="shared" si="1"/>
        <v>3</v>
      </c>
      <c r="H19" s="191" t="str">
        <f t="shared" si="2"/>
        <v/>
      </c>
      <c r="I19" s="193">
        <f t="shared" si="3"/>
        <v>3</v>
      </c>
      <c r="J19" s="208" t="str">
        <f t="shared" si="4"/>
        <v>C</v>
      </c>
      <c r="K19" s="210">
        <f t="shared" si="5"/>
        <v>2.4</v>
      </c>
      <c r="L19" s="189"/>
      <c r="M19" s="110"/>
      <c r="N19" s="117"/>
      <c r="O19" s="250" t="str">
        <f t="shared" si="6"/>
        <v>C</v>
      </c>
      <c r="P19" s="249">
        <f>IF('NW - E5'!D8=0,0,IF('NW - E5'!D8&gt;=0,'NW - E5'!D8))</f>
        <v>2.5</v>
      </c>
      <c r="Q19" s="206">
        <f t="shared" si="7"/>
        <v>1.0416666666666667</v>
      </c>
      <c r="R19" s="250" t="str">
        <f t="shared" si="8"/>
        <v>C</v>
      </c>
      <c r="S19" s="249">
        <f>IF('NW - E5'!F8=0,0,IF('NW - E5'!F8&gt;=0,'NW - E5'!F8))</f>
        <v>2.7</v>
      </c>
      <c r="T19" s="206">
        <f t="shared" si="9"/>
        <v>1.1250000000000002</v>
      </c>
      <c r="U19" s="250" t="str">
        <f t="shared" si="10"/>
        <v>D</v>
      </c>
      <c r="V19" s="249">
        <f>IF('NW - E5'!E8=0,0,IF('NW - E5'!E8&gt;=0,'NW - E5'!E8))</f>
        <v>2.2000000000000002</v>
      </c>
      <c r="W19" s="206">
        <f t="shared" si="11"/>
        <v>0.91666666666666674</v>
      </c>
      <c r="X19" s="250" t="str">
        <f t="shared" si="12"/>
        <v>B</v>
      </c>
      <c r="Y19" s="249">
        <f>IF('NW - E5'!I8=0,0,IF('NW - E5'!I8&gt;=0,'NW - E5'!I8))</f>
        <v>3.4</v>
      </c>
      <c r="Z19" s="206">
        <f t="shared" si="13"/>
        <v>1.4166666666666667</v>
      </c>
      <c r="AA19" s="250" t="str">
        <f t="shared" si="14"/>
        <v>C</v>
      </c>
      <c r="AB19" s="249">
        <f>IF('NW - E5'!H8=0,0,IF('NW - E5'!H8&gt;=0,'NW - E5'!H8))</f>
        <v>2.4</v>
      </c>
      <c r="AC19" s="206">
        <f t="shared" si="15"/>
        <v>1</v>
      </c>
      <c r="AD19" s="1">
        <f t="shared" si="39"/>
        <v>1</v>
      </c>
      <c r="AE19" s="1">
        <f t="shared" si="16"/>
        <v>1</v>
      </c>
      <c r="AF19" s="1">
        <f t="shared" si="17"/>
        <v>1</v>
      </c>
      <c r="AG19" s="1">
        <f t="shared" si="18"/>
        <v>1</v>
      </c>
      <c r="AH19" s="1">
        <f t="shared" si="19"/>
        <v>1</v>
      </c>
      <c r="AI19" s="1">
        <f t="shared" si="20"/>
        <v>5</v>
      </c>
      <c r="AJ19" s="106" t="b">
        <f t="shared" si="21"/>
        <v>0</v>
      </c>
      <c r="AK19" s="106" t="b">
        <f t="shared" si="22"/>
        <v>0</v>
      </c>
      <c r="AL19" s="106">
        <f t="shared" si="23"/>
        <v>1</v>
      </c>
      <c r="AM19" s="106" t="b">
        <f t="shared" si="24"/>
        <v>0</v>
      </c>
      <c r="AN19" s="106" t="b">
        <f t="shared" si="25"/>
        <v>0</v>
      </c>
      <c r="AO19" s="106" t="b">
        <f t="shared" si="40"/>
        <v>0</v>
      </c>
      <c r="AP19" s="106" t="b">
        <f t="shared" si="26"/>
        <v>0</v>
      </c>
      <c r="AQ19" s="106" t="b">
        <f t="shared" si="27"/>
        <v>0</v>
      </c>
      <c r="AR19" s="106" t="b">
        <f t="shared" si="28"/>
        <v>0</v>
      </c>
      <c r="AS19" s="106" t="b">
        <f t="shared" si="29"/>
        <v>0</v>
      </c>
      <c r="AT19" s="148">
        <f t="shared" si="41"/>
        <v>0</v>
      </c>
      <c r="AU19" s="198">
        <f t="shared" si="30"/>
        <v>5</v>
      </c>
      <c r="AV19" s="204">
        <f t="shared" si="31"/>
        <v>1</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M5'!C20="","",IF('RIO - M5'!C20&gt;"",'RIO - M5'!C20))</f>
        <v/>
      </c>
      <c r="D20" s="149" t="str">
        <f>IF('NW - E5'!N9="","",IF('NW - E5'!N9="A+","A",IF('NW - E5'!N9="A","A",IF('NW - E5'!N9="B","B",IF('NW - E5'!N9="C","C",IF('NW - E5'!N9="C-","C",IF('NW - E5'!N9="D","D",IF('NW - E5'!N9="E","E"))))))))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E5'!D9=0,0,IF('NW - E5'!D9&gt;=0,'NW - E5'!D9))</f>
        <v>0</v>
      </c>
      <c r="Q20" s="206" t="str">
        <f t="shared" si="7"/>
        <v/>
      </c>
      <c r="R20" s="250">
        <f t="shared" si="8"/>
        <v>0</v>
      </c>
      <c r="S20" s="249">
        <f>IF('NW - E5'!F9=0,0,IF('NW - E5'!F9&gt;=0,'NW - E5'!F9))</f>
        <v>0</v>
      </c>
      <c r="T20" s="206" t="str">
        <f t="shared" si="9"/>
        <v/>
      </c>
      <c r="U20" s="250">
        <f t="shared" si="10"/>
        <v>0</v>
      </c>
      <c r="V20" s="249">
        <f>IF('NW - E5'!E9=0,0,IF('NW - E5'!E9&gt;=0,'NW - E5'!E9))</f>
        <v>0</v>
      </c>
      <c r="W20" s="206" t="str">
        <f t="shared" si="11"/>
        <v/>
      </c>
      <c r="X20" s="250">
        <f t="shared" si="12"/>
        <v>0</v>
      </c>
      <c r="Y20" s="249">
        <f>IF('NW - E5'!I9=0,0,IF('NW - E5'!I9&gt;=0,'NW - E5'!I9))</f>
        <v>0</v>
      </c>
      <c r="Z20" s="206" t="str">
        <f t="shared" si="13"/>
        <v/>
      </c>
      <c r="AA20" s="250">
        <f t="shared" si="14"/>
        <v>0</v>
      </c>
      <c r="AB20" s="249">
        <f>IF('NW - E5'!H9=0,0,IF('NW - E5'!H9&gt;=0,'NW - E5'!H9))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M5'!C21="","",IF('RIO - M5'!C21&gt;"",'RIO - M5'!C21))</f>
        <v/>
      </c>
      <c r="D21" s="149" t="str">
        <f>IF('NW - E5'!N10="","",IF('NW - E5'!N10="A+","A",IF('NW - E5'!N10="A","A",IF('NW - E5'!N10="B","B",IF('NW - E5'!N10="C","C",IF('NW - E5'!N10="C-","C",IF('NW - E5'!N10="D","D",IF('NW - E5'!N10="E","E"))))))))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E5'!D10=0,0,IF('NW - E5'!D10&gt;=0,'NW - E5'!D10))</f>
        <v>0</v>
      </c>
      <c r="Q21" s="206" t="str">
        <f t="shared" si="7"/>
        <v/>
      </c>
      <c r="R21" s="250">
        <f t="shared" si="8"/>
        <v>0</v>
      </c>
      <c r="S21" s="249">
        <f>IF('NW - E5'!F10=0,0,IF('NW - E5'!F10&gt;=0,'NW - E5'!F10))</f>
        <v>0</v>
      </c>
      <c r="T21" s="206" t="str">
        <f t="shared" si="9"/>
        <v/>
      </c>
      <c r="U21" s="250">
        <f t="shared" si="10"/>
        <v>0</v>
      </c>
      <c r="V21" s="249">
        <f>IF('NW - E5'!E10=0,0,IF('NW - E5'!E10&gt;=0,'NW - E5'!E10))</f>
        <v>0</v>
      </c>
      <c r="W21" s="206" t="str">
        <f t="shared" si="11"/>
        <v/>
      </c>
      <c r="X21" s="250">
        <f t="shared" si="12"/>
        <v>0</v>
      </c>
      <c r="Y21" s="249">
        <f>IF('NW - E5'!I10=0,0,IF('NW - E5'!I10&gt;=0,'NW - E5'!I10))</f>
        <v>0</v>
      </c>
      <c r="Z21" s="206" t="str">
        <f t="shared" si="13"/>
        <v/>
      </c>
      <c r="AA21" s="250">
        <f t="shared" si="14"/>
        <v>0</v>
      </c>
      <c r="AB21" s="249">
        <f>IF('NW - E5'!H10=0,0,IF('NW - E5'!H10&gt;=0,'NW - E5'!H10))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M5'!C22="","",IF('RIO - M5'!C22&gt;"",'RIO - M5'!C22))</f>
        <v/>
      </c>
      <c r="D22" s="149" t="str">
        <f>IF('NW - E5'!N11="","",IF('NW - E5'!N11="A+","A",IF('NW - E5'!N11="A","A",IF('NW - E5'!N11="B","B",IF('NW - E5'!N11="C","C",IF('NW - E5'!N11="C-","C",IF('NW - E5'!N11="D","D",IF('NW - E5'!N11="E","E"))))))))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E5'!D11=0,0,IF('NW - E5'!D11&gt;=0,'NW - E5'!D11))</f>
        <v>0</v>
      </c>
      <c r="Q22" s="206" t="str">
        <f t="shared" si="7"/>
        <v/>
      </c>
      <c r="R22" s="250">
        <f t="shared" si="8"/>
        <v>0</v>
      </c>
      <c r="S22" s="249">
        <f>IF('NW - E5'!F11=0,0,IF('NW - E5'!F11&gt;=0,'NW - E5'!F11))</f>
        <v>0</v>
      </c>
      <c r="T22" s="206" t="str">
        <f t="shared" si="9"/>
        <v/>
      </c>
      <c r="U22" s="250">
        <f t="shared" si="10"/>
        <v>0</v>
      </c>
      <c r="V22" s="249">
        <f>IF('NW - E5'!E11=0,0,IF('NW - E5'!E11&gt;=0,'NW - E5'!E11))</f>
        <v>0</v>
      </c>
      <c r="W22" s="206" t="str">
        <f t="shared" si="11"/>
        <v/>
      </c>
      <c r="X22" s="250">
        <f t="shared" si="12"/>
        <v>0</v>
      </c>
      <c r="Y22" s="249">
        <f>IF('NW - E5'!I11=0,0,IF('NW - E5'!I11&gt;=0,'NW - E5'!I11))</f>
        <v>0</v>
      </c>
      <c r="Z22" s="206" t="str">
        <f t="shared" si="13"/>
        <v/>
      </c>
      <c r="AA22" s="250">
        <f t="shared" si="14"/>
        <v>0</v>
      </c>
      <c r="AB22" s="249">
        <f>IF('NW - E5'!H11=0,0,IF('NW - E5'!H11&gt;=0,'NW - E5'!H11))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M5'!C23="","",IF('RIO - M5'!C23&gt;"",'RIO - M5'!C23))</f>
        <v/>
      </c>
      <c r="D23" s="149" t="str">
        <f>IF('NW - E5'!N12="","",IF('NW - E5'!N12="A+","A",IF('NW - E5'!N12="A","A",IF('NW - E5'!N12="B","B",IF('NW - E5'!N12="C","C",IF('NW - E5'!N12="C-","C",IF('NW - E5'!N12="D","D",IF('NW - E5'!N12="E","E"))))))))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E5'!D12=0,0,IF('NW - E5'!D12&gt;=0,'NW - E5'!D12))</f>
        <v>0</v>
      </c>
      <c r="Q23" s="206" t="str">
        <f t="shared" si="7"/>
        <v/>
      </c>
      <c r="R23" s="250">
        <f t="shared" si="8"/>
        <v>0</v>
      </c>
      <c r="S23" s="249">
        <f>IF('NW - E5'!F12=0,0,IF('NW - E5'!F12&gt;=0,'NW - E5'!F12))</f>
        <v>0</v>
      </c>
      <c r="T23" s="206" t="str">
        <f t="shared" si="9"/>
        <v/>
      </c>
      <c r="U23" s="250">
        <f t="shared" si="10"/>
        <v>0</v>
      </c>
      <c r="V23" s="249">
        <f>IF('NW - E5'!E12=0,0,IF('NW - E5'!E12&gt;=0,'NW - E5'!E12))</f>
        <v>0</v>
      </c>
      <c r="W23" s="206" t="str">
        <f t="shared" si="11"/>
        <v/>
      </c>
      <c r="X23" s="250">
        <f t="shared" si="12"/>
        <v>0</v>
      </c>
      <c r="Y23" s="249">
        <f>IF('NW - E5'!I12=0,0,IF('NW - E5'!I12&gt;=0,'NW - E5'!I12))</f>
        <v>0</v>
      </c>
      <c r="Z23" s="206" t="str">
        <f t="shared" si="13"/>
        <v/>
      </c>
      <c r="AA23" s="250">
        <f t="shared" si="14"/>
        <v>0</v>
      </c>
      <c r="AB23" s="249">
        <f>IF('NW - E5'!H12=0,0,IF('NW - E5'!H12&gt;=0,'NW - E5'!H12))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M5'!C24="","",IF('RIO - M5'!C24&gt;"",'RIO - M5'!C24))</f>
        <v/>
      </c>
      <c r="D24" s="149" t="str">
        <f>IF('NW - E5'!N13="","",IF('NW - E5'!N13="A+","A",IF('NW - E5'!N13="A","A",IF('NW - E5'!N13="B","B",IF('NW - E5'!N13="C","C",IF('NW - E5'!N13="C-","C",IF('NW - E5'!N13="D","D",IF('NW - E5'!N13="E","E"))))))))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E5'!D13=0,0,IF('NW - E5'!D13&gt;=0,'NW - E5'!D13))</f>
        <v>0</v>
      </c>
      <c r="Q24" s="206" t="str">
        <f t="shared" si="7"/>
        <v/>
      </c>
      <c r="R24" s="250">
        <f t="shared" si="8"/>
        <v>0</v>
      </c>
      <c r="S24" s="249">
        <f>IF('NW - E5'!F13=0,0,IF('NW - E5'!F13&gt;=0,'NW - E5'!F13))</f>
        <v>0</v>
      </c>
      <c r="T24" s="206" t="str">
        <f t="shared" si="9"/>
        <v/>
      </c>
      <c r="U24" s="250">
        <f t="shared" si="10"/>
        <v>0</v>
      </c>
      <c r="V24" s="249">
        <f>IF('NW - E5'!E13=0,0,IF('NW - E5'!E13&gt;=0,'NW - E5'!E13))</f>
        <v>0</v>
      </c>
      <c r="W24" s="206" t="str">
        <f t="shared" si="11"/>
        <v/>
      </c>
      <c r="X24" s="250">
        <f t="shared" si="12"/>
        <v>0</v>
      </c>
      <c r="Y24" s="249">
        <f>IF('NW - E5'!I13=0,0,IF('NW - E5'!I13&gt;=0,'NW - E5'!I13))</f>
        <v>0</v>
      </c>
      <c r="Z24" s="206" t="str">
        <f t="shared" si="13"/>
        <v/>
      </c>
      <c r="AA24" s="250">
        <f t="shared" si="14"/>
        <v>0</v>
      </c>
      <c r="AB24" s="249">
        <f>IF('NW - E5'!H13=0,0,IF('NW - E5'!H13&gt;=0,'NW - E5'!H13))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M5'!C25="","",IF('RIO - M5'!C25&gt;"",'RIO - M5'!C25))</f>
        <v/>
      </c>
      <c r="D25" s="149" t="str">
        <f>IF('NW - E5'!N14="","",IF('NW - E5'!N14="A+","A",IF('NW - E5'!N14="A","A",IF('NW - E5'!N14="B","B",IF('NW - E5'!N14="C","C",IF('NW - E5'!N14="C-","C",IF('NW - E5'!N14="D","D",IF('NW - E5'!N14="E","E"))))))))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E5'!D14=0,0,IF('NW - E5'!D14&gt;=0,'NW - E5'!D14))</f>
        <v>0</v>
      </c>
      <c r="Q25" s="206" t="str">
        <f t="shared" si="7"/>
        <v/>
      </c>
      <c r="R25" s="250">
        <f t="shared" si="8"/>
        <v>0</v>
      </c>
      <c r="S25" s="249">
        <f>IF('NW - E5'!F14=0,0,IF('NW - E5'!F14&gt;=0,'NW - E5'!F14))</f>
        <v>0</v>
      </c>
      <c r="T25" s="206" t="str">
        <f t="shared" si="9"/>
        <v/>
      </c>
      <c r="U25" s="250">
        <f t="shared" si="10"/>
        <v>0</v>
      </c>
      <c r="V25" s="249">
        <f>IF('NW - E5'!E14=0,0,IF('NW - E5'!E14&gt;=0,'NW - E5'!E14))</f>
        <v>0</v>
      </c>
      <c r="W25" s="206" t="str">
        <f t="shared" si="11"/>
        <v/>
      </c>
      <c r="X25" s="250">
        <f t="shared" si="12"/>
        <v>0</v>
      </c>
      <c r="Y25" s="249">
        <f>IF('NW - E5'!I14=0,0,IF('NW - E5'!I14&gt;=0,'NW - E5'!I14))</f>
        <v>0</v>
      </c>
      <c r="Z25" s="206" t="str">
        <f t="shared" si="13"/>
        <v/>
      </c>
      <c r="AA25" s="250">
        <f t="shared" si="14"/>
        <v>0</v>
      </c>
      <c r="AB25" s="249">
        <f>IF('NW - E5'!H14=0,0,IF('NW - E5'!H14&gt;=0,'NW - E5'!H14))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M5'!C26="","",IF('RIO - M5'!C26&gt;"",'RIO - M5'!C26))</f>
        <v/>
      </c>
      <c r="D26" s="149" t="str">
        <f>IF('NW - E5'!N15="","",IF('NW - E5'!N15="A+","A",IF('NW - E5'!N15="A","A",IF('NW - E5'!N15="B","B",IF('NW - E5'!N15="C","C",IF('NW - E5'!N15="C-","C",IF('NW - E5'!N15="D","D",IF('NW - E5'!N15="E","E"))))))))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E5'!D15=0,0,IF('NW - E5'!D15&gt;=0,'NW - E5'!D15))</f>
        <v>0</v>
      </c>
      <c r="Q26" s="206" t="str">
        <f t="shared" si="7"/>
        <v/>
      </c>
      <c r="R26" s="250">
        <f t="shared" si="8"/>
        <v>0</v>
      </c>
      <c r="S26" s="249">
        <f>IF('NW - E5'!F15=0,0,IF('NW - E5'!F15&gt;=0,'NW - E5'!F15))</f>
        <v>0</v>
      </c>
      <c r="T26" s="206" t="str">
        <f t="shared" si="9"/>
        <v/>
      </c>
      <c r="U26" s="250">
        <f t="shared" si="10"/>
        <v>0</v>
      </c>
      <c r="V26" s="249">
        <f>IF('NW - E5'!E15=0,0,IF('NW - E5'!E15&gt;=0,'NW - E5'!E15))</f>
        <v>0</v>
      </c>
      <c r="W26" s="206" t="str">
        <f t="shared" si="11"/>
        <v/>
      </c>
      <c r="X26" s="250">
        <f t="shared" si="12"/>
        <v>0</v>
      </c>
      <c r="Y26" s="249">
        <f>IF('NW - E5'!I15=0,0,IF('NW - E5'!I15&gt;=0,'NW - E5'!I15))</f>
        <v>0</v>
      </c>
      <c r="Z26" s="206" t="str">
        <f t="shared" si="13"/>
        <v/>
      </c>
      <c r="AA26" s="250">
        <f t="shared" si="14"/>
        <v>0</v>
      </c>
      <c r="AB26" s="249">
        <f>IF('NW - E5'!H15=0,0,IF('NW - E5'!H15&gt;=0,'NW - E5'!H15))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M5'!C27="","",IF('RIO - M5'!C27&gt;"",'RIO - M5'!C27))</f>
        <v/>
      </c>
      <c r="D27" s="149" t="str">
        <f>IF('NW - E5'!N16="","",IF('NW - E5'!N16="A+","A",IF('NW - E5'!N16="A","A",IF('NW - E5'!N16="B","B",IF('NW - E5'!N16="C","C",IF('NW - E5'!N16="C-","C",IF('NW - E5'!N16="D","D",IF('NW - E5'!N16="E","E"))))))))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E5'!D16=0,0,IF('NW - E5'!D16&gt;=0,'NW - E5'!D16))</f>
        <v>0</v>
      </c>
      <c r="Q27" s="206" t="str">
        <f t="shared" si="7"/>
        <v/>
      </c>
      <c r="R27" s="250">
        <f t="shared" si="8"/>
        <v>0</v>
      </c>
      <c r="S27" s="249">
        <f>IF('NW - E5'!F16=0,0,IF('NW - E5'!F16&gt;=0,'NW - E5'!F16))</f>
        <v>0</v>
      </c>
      <c r="T27" s="206" t="str">
        <f t="shared" si="9"/>
        <v/>
      </c>
      <c r="U27" s="250">
        <f t="shared" si="10"/>
        <v>0</v>
      </c>
      <c r="V27" s="249">
        <f>IF('NW - E5'!E16=0,0,IF('NW - E5'!E16&gt;=0,'NW - E5'!E16))</f>
        <v>0</v>
      </c>
      <c r="W27" s="206" t="str">
        <f t="shared" si="11"/>
        <v/>
      </c>
      <c r="X27" s="250">
        <f t="shared" si="12"/>
        <v>0</v>
      </c>
      <c r="Y27" s="249">
        <f>IF('NW - E5'!I16=0,0,IF('NW - E5'!I16&gt;=0,'NW - E5'!I16))</f>
        <v>0</v>
      </c>
      <c r="Z27" s="206" t="str">
        <f t="shared" si="13"/>
        <v/>
      </c>
      <c r="AA27" s="250">
        <f t="shared" si="14"/>
        <v>0</v>
      </c>
      <c r="AB27" s="249">
        <f>IF('NW - E5'!H16=0,0,IF('NW - E5'!H16&gt;=0,'NW - E5'!H16))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M5'!C28="","",IF('RIO - M5'!C28&gt;"",'RIO - M5'!C28))</f>
        <v/>
      </c>
      <c r="D28" s="149" t="str">
        <f>IF('NW - E5'!N17="","",IF('NW - E5'!N17="A+","A",IF('NW - E5'!N17="A","A",IF('NW - E5'!N17="B","B",IF('NW - E5'!N17="C","C",IF('NW - E5'!N17="C-","C",IF('NW - E5'!N17="D","D",IF('NW - E5'!N17="E","E"))))))))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E5'!D17=0,0,IF('NW - E5'!D17&gt;=0,'NW - E5'!D17))</f>
        <v>0</v>
      </c>
      <c r="Q28" s="206" t="str">
        <f t="shared" si="7"/>
        <v/>
      </c>
      <c r="R28" s="250">
        <f t="shared" si="8"/>
        <v>0</v>
      </c>
      <c r="S28" s="249">
        <f>IF('NW - E5'!F17=0,0,IF('NW - E5'!F17&gt;=0,'NW - E5'!F17))</f>
        <v>0</v>
      </c>
      <c r="T28" s="206" t="str">
        <f t="shared" si="9"/>
        <v/>
      </c>
      <c r="U28" s="250">
        <f t="shared" si="10"/>
        <v>0</v>
      </c>
      <c r="V28" s="249">
        <f>IF('NW - E5'!E17=0,0,IF('NW - E5'!E17&gt;=0,'NW - E5'!E17))</f>
        <v>0</v>
      </c>
      <c r="W28" s="206" t="str">
        <f t="shared" si="11"/>
        <v/>
      </c>
      <c r="X28" s="250">
        <f t="shared" si="12"/>
        <v>0</v>
      </c>
      <c r="Y28" s="249">
        <f>IF('NW - E5'!I17=0,0,IF('NW - E5'!I17&gt;=0,'NW - E5'!I17))</f>
        <v>0</v>
      </c>
      <c r="Z28" s="206" t="str">
        <f t="shared" si="13"/>
        <v/>
      </c>
      <c r="AA28" s="250">
        <f t="shared" si="14"/>
        <v>0</v>
      </c>
      <c r="AB28" s="249">
        <f>IF('NW - E5'!H17=0,0,IF('NW - E5'!H17&gt;=0,'NW - E5'!H17))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M5'!C29="","",IF('RIO - M5'!C29&gt;"",'RIO - M5'!C29))</f>
        <v/>
      </c>
      <c r="D29" s="149" t="str">
        <f>IF('NW - E5'!N18="","",IF('NW - E5'!N18="A+","A",IF('NW - E5'!N18="A","A",IF('NW - E5'!N18="B","B",IF('NW - E5'!N18="C","C",IF('NW - E5'!N18="C-","C",IF('NW - E5'!N18="D","D",IF('NW - E5'!N18="E","E"))))))))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E5'!D18=0,0,IF('NW - E5'!D18&gt;=0,'NW - E5'!D18))</f>
        <v>0</v>
      </c>
      <c r="Q29" s="206" t="str">
        <f t="shared" si="7"/>
        <v/>
      </c>
      <c r="R29" s="250">
        <f t="shared" si="8"/>
        <v>0</v>
      </c>
      <c r="S29" s="249">
        <f>IF('NW - E5'!F18=0,0,IF('NW - E5'!F18&gt;=0,'NW - E5'!F18))</f>
        <v>0</v>
      </c>
      <c r="T29" s="206" t="str">
        <f t="shared" si="9"/>
        <v/>
      </c>
      <c r="U29" s="250">
        <f t="shared" si="10"/>
        <v>0</v>
      </c>
      <c r="V29" s="249">
        <f>IF('NW - E5'!E18=0,0,IF('NW - E5'!E18&gt;=0,'NW - E5'!E18))</f>
        <v>0</v>
      </c>
      <c r="W29" s="206" t="str">
        <f t="shared" si="11"/>
        <v/>
      </c>
      <c r="X29" s="250">
        <f t="shared" si="12"/>
        <v>0</v>
      </c>
      <c r="Y29" s="249">
        <f>IF('NW - E5'!I18=0,0,IF('NW - E5'!I18&gt;=0,'NW - E5'!I18))</f>
        <v>0</v>
      </c>
      <c r="Z29" s="206" t="str">
        <f t="shared" si="13"/>
        <v/>
      </c>
      <c r="AA29" s="250">
        <f t="shared" si="14"/>
        <v>0</v>
      </c>
      <c r="AB29" s="249">
        <f>IF('NW - E5'!H18=0,0,IF('NW - E5'!H18&gt;=0,'NW - E5'!H18))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M5'!C30="","",IF('RIO - M5'!C30&gt;"",'RIO - M5'!C30))</f>
        <v/>
      </c>
      <c r="D30" s="149" t="str">
        <f>IF('NW - E5'!N19="","",IF('NW - E5'!N19="A+","A",IF('NW - E5'!N19="A","A",IF('NW - E5'!N19="B","B",IF('NW - E5'!N19="C","C",IF('NW - E5'!N19="C-","C",IF('NW - E5'!N19="D","D",IF('NW - E5'!N19="E","E"))))))))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E5'!D19=0,0,IF('NW - E5'!D19&gt;=0,'NW - E5'!D19))</f>
        <v>0</v>
      </c>
      <c r="Q30" s="206" t="str">
        <f t="shared" si="7"/>
        <v/>
      </c>
      <c r="R30" s="250">
        <f t="shared" si="8"/>
        <v>0</v>
      </c>
      <c r="S30" s="249">
        <f>IF('NW - E5'!F19=0,0,IF('NW - E5'!F19&gt;=0,'NW - E5'!F19))</f>
        <v>0</v>
      </c>
      <c r="T30" s="206" t="str">
        <f t="shared" si="9"/>
        <v/>
      </c>
      <c r="U30" s="250">
        <f t="shared" si="10"/>
        <v>0</v>
      </c>
      <c r="V30" s="249">
        <f>IF('NW - E5'!E19=0,0,IF('NW - E5'!E19&gt;=0,'NW - E5'!E19))</f>
        <v>0</v>
      </c>
      <c r="W30" s="206" t="str">
        <f t="shared" si="11"/>
        <v/>
      </c>
      <c r="X30" s="250">
        <f t="shared" si="12"/>
        <v>0</v>
      </c>
      <c r="Y30" s="249">
        <f>IF('NW - E5'!I19=0,0,IF('NW - E5'!I19&gt;=0,'NW - E5'!I19))</f>
        <v>0</v>
      </c>
      <c r="Z30" s="206" t="str">
        <f t="shared" si="13"/>
        <v/>
      </c>
      <c r="AA30" s="250">
        <f t="shared" si="14"/>
        <v>0</v>
      </c>
      <c r="AB30" s="249">
        <f>IF('NW - E5'!H19=0,0,IF('NW - E5'!H19&gt;=0,'NW - E5'!H19))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M5'!C31="","",IF('RIO - M5'!C31&gt;"",'RIO - M5'!C31))</f>
        <v/>
      </c>
      <c r="D31" s="149" t="str">
        <f>IF('NW - E5'!N20="","",IF('NW - E5'!N20="A+","A",IF('NW - E5'!N20="A","A",IF('NW - E5'!N20="B","B",IF('NW - E5'!N20="C","C",IF('NW - E5'!N20="C-","C",IF('NW - E5'!N20="D","D",IF('NW - E5'!N20="E","E"))))))))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E5'!D20=0,0,IF('NW - E5'!D20&gt;=0,'NW - E5'!D20))</f>
        <v>0</v>
      </c>
      <c r="Q31" s="206" t="str">
        <f t="shared" si="7"/>
        <v/>
      </c>
      <c r="R31" s="250">
        <f t="shared" si="8"/>
        <v>0</v>
      </c>
      <c r="S31" s="249">
        <f>IF('NW - E5'!F20=0,0,IF('NW - E5'!F20&gt;=0,'NW - E5'!F20))</f>
        <v>0</v>
      </c>
      <c r="T31" s="206" t="str">
        <f t="shared" si="9"/>
        <v/>
      </c>
      <c r="U31" s="250">
        <f t="shared" si="10"/>
        <v>0</v>
      </c>
      <c r="V31" s="249">
        <f>IF('NW - E5'!E20=0,0,IF('NW - E5'!E20&gt;=0,'NW - E5'!E20))</f>
        <v>0</v>
      </c>
      <c r="W31" s="206" t="str">
        <f t="shared" si="11"/>
        <v/>
      </c>
      <c r="X31" s="250">
        <f t="shared" si="12"/>
        <v>0</v>
      </c>
      <c r="Y31" s="249">
        <f>IF('NW - E5'!I20=0,0,IF('NW - E5'!I20&gt;=0,'NW - E5'!I20))</f>
        <v>0</v>
      </c>
      <c r="Z31" s="206" t="str">
        <f t="shared" si="13"/>
        <v/>
      </c>
      <c r="AA31" s="250">
        <f t="shared" si="14"/>
        <v>0</v>
      </c>
      <c r="AB31" s="249">
        <f>IF('NW - E5'!H20=0,0,IF('NW - E5'!H20&gt;=0,'NW - E5'!H20))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M5'!C32="","",IF('RIO - M5'!C32&gt;"",'RIO - M5'!C32))</f>
        <v/>
      </c>
      <c r="D32" s="149" t="str">
        <f>IF('NW - E5'!N21="","",IF('NW - E5'!N21="A+","A",IF('NW - E5'!N21="A","A",IF('NW - E5'!N21="B","B",IF('NW - E5'!N21="C","C",IF('NW - E5'!N21="C-","C",IF('NW - E5'!N21="D","D",IF('NW - E5'!N21="E","E"))))))))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E5'!D21=0,0,IF('NW - E5'!D21&gt;=0,'NW - E5'!D21))</f>
        <v>0</v>
      </c>
      <c r="Q32" s="206" t="str">
        <f t="shared" si="7"/>
        <v/>
      </c>
      <c r="R32" s="250">
        <f t="shared" si="8"/>
        <v>0</v>
      </c>
      <c r="S32" s="249">
        <f>IF('NW - E5'!F21=0,0,IF('NW - E5'!F21&gt;=0,'NW - E5'!F21))</f>
        <v>0</v>
      </c>
      <c r="T32" s="206" t="str">
        <f t="shared" si="9"/>
        <v/>
      </c>
      <c r="U32" s="250">
        <f t="shared" si="10"/>
        <v>0</v>
      </c>
      <c r="V32" s="249">
        <f>IF('NW - E5'!E21=0,0,IF('NW - E5'!E21&gt;=0,'NW - E5'!E21))</f>
        <v>0</v>
      </c>
      <c r="W32" s="206" t="str">
        <f t="shared" si="11"/>
        <v/>
      </c>
      <c r="X32" s="250">
        <f t="shared" si="12"/>
        <v>0</v>
      </c>
      <c r="Y32" s="249">
        <f>IF('NW - E5'!I21=0,0,IF('NW - E5'!I21&gt;=0,'NW - E5'!I21))</f>
        <v>0</v>
      </c>
      <c r="Z32" s="206" t="str">
        <f t="shared" si="13"/>
        <v/>
      </c>
      <c r="AA32" s="250">
        <f t="shared" si="14"/>
        <v>0</v>
      </c>
      <c r="AB32" s="249">
        <f>IF('NW - E5'!H21=0,0,IF('NW - E5'!H21&gt;=0,'NW - E5'!H21))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M5'!C33="","",IF('RIO - M5'!C33&gt;"",'RIO - M5'!C33))</f>
        <v/>
      </c>
      <c r="D33" s="149" t="str">
        <f>IF('NW - E5'!N22="","",IF('NW - E5'!N22="A+","A",IF('NW - E5'!N22="A","A",IF('NW - E5'!N22="B","B",IF('NW - E5'!N22="C","C",IF('NW - E5'!N22="C-","C",IF('NW - E5'!N22="D","D",IF('NW - E5'!N22="E","E"))))))))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E5'!D22=0,0,IF('NW - E5'!D22&gt;=0,'NW - E5'!D22))</f>
        <v>0</v>
      </c>
      <c r="Q33" s="206" t="str">
        <f t="shared" si="7"/>
        <v/>
      </c>
      <c r="R33" s="250">
        <f t="shared" si="8"/>
        <v>0</v>
      </c>
      <c r="S33" s="249">
        <f>IF('NW - E5'!F22=0,0,IF('NW - E5'!F22&gt;=0,'NW - E5'!F22))</f>
        <v>0</v>
      </c>
      <c r="T33" s="206" t="str">
        <f t="shared" si="9"/>
        <v/>
      </c>
      <c r="U33" s="250">
        <f t="shared" si="10"/>
        <v>0</v>
      </c>
      <c r="V33" s="249">
        <f>IF('NW - E5'!E22=0,0,IF('NW - E5'!E22&gt;=0,'NW - E5'!E22))</f>
        <v>0</v>
      </c>
      <c r="W33" s="206" t="str">
        <f t="shared" si="11"/>
        <v/>
      </c>
      <c r="X33" s="250">
        <f t="shared" si="12"/>
        <v>0</v>
      </c>
      <c r="Y33" s="249">
        <f>IF('NW - E5'!I22=0,0,IF('NW - E5'!I22&gt;=0,'NW - E5'!I22))</f>
        <v>0</v>
      </c>
      <c r="Z33" s="206" t="str">
        <f t="shared" si="13"/>
        <v/>
      </c>
      <c r="AA33" s="250">
        <f t="shared" si="14"/>
        <v>0</v>
      </c>
      <c r="AB33" s="249">
        <f>IF('NW - E5'!H22=0,0,IF('NW - E5'!H22&gt;=0,'NW - E5'!H22))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M5'!C34="","",IF('RIO - M5'!C34&gt;"",'RIO - M5'!C34))</f>
        <v/>
      </c>
      <c r="D34" s="149" t="str">
        <f>IF('NW - E5'!N23="","",IF('NW - E5'!N23="A+","A",IF('NW - E5'!N23="A","A",IF('NW - E5'!N23="B","B",IF('NW - E5'!N23="C","C",IF('NW - E5'!N23="C-","C",IF('NW - E5'!N23="D","D",IF('NW - E5'!N23="E","E"))))))))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E5'!D23=0,0,IF('NW - E5'!D23&gt;=0,'NW - E5'!D23))</f>
        <v>0</v>
      </c>
      <c r="Q34" s="206" t="str">
        <f t="shared" si="7"/>
        <v/>
      </c>
      <c r="R34" s="250">
        <f t="shared" si="8"/>
        <v>0</v>
      </c>
      <c r="S34" s="249">
        <f>IF('NW - E5'!F23=0,0,IF('NW - E5'!F23&gt;=0,'NW - E5'!F23))</f>
        <v>0</v>
      </c>
      <c r="T34" s="206" t="str">
        <f t="shared" si="9"/>
        <v/>
      </c>
      <c r="U34" s="250">
        <f t="shared" si="10"/>
        <v>0</v>
      </c>
      <c r="V34" s="249">
        <f>IF('NW - E5'!E23=0,0,IF('NW - E5'!E23&gt;=0,'NW - E5'!E23))</f>
        <v>0</v>
      </c>
      <c r="W34" s="206" t="str">
        <f t="shared" si="11"/>
        <v/>
      </c>
      <c r="X34" s="250">
        <f t="shared" si="12"/>
        <v>0</v>
      </c>
      <c r="Y34" s="249">
        <f>IF('NW - E5'!I23=0,0,IF('NW - E5'!I23&gt;=0,'NW - E5'!I23))</f>
        <v>0</v>
      </c>
      <c r="Z34" s="206" t="str">
        <f t="shared" si="13"/>
        <v/>
      </c>
      <c r="AA34" s="250">
        <f t="shared" si="14"/>
        <v>0</v>
      </c>
      <c r="AB34" s="249">
        <f>IF('NW - E5'!H23=0,0,IF('NW - E5'!H23&gt;=0,'NW - E5'!H23))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M5'!C35="","",IF('RIO - M5'!C35&gt;"",'RIO - M5'!C35))</f>
        <v/>
      </c>
      <c r="D35" s="149" t="str">
        <f>IF('NW - E5'!N24="","",IF('NW - E5'!N24="A+","A",IF('NW - E5'!N24="A","A",IF('NW - E5'!N24="B","B",IF('NW - E5'!N24="C","C",IF('NW - E5'!N24="C-","C",IF('NW - E5'!N24="D","D",IF('NW - E5'!N24="E","E"))))))))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E5'!D24=0,0,IF('NW - E5'!D24&gt;=0,'NW - E5'!D24))</f>
        <v>0</v>
      </c>
      <c r="Q35" s="206" t="str">
        <f t="shared" si="7"/>
        <v/>
      </c>
      <c r="R35" s="250">
        <f t="shared" si="8"/>
        <v>0</v>
      </c>
      <c r="S35" s="249">
        <f>IF('NW - E5'!F24=0,0,IF('NW - E5'!F24&gt;=0,'NW - E5'!F24))</f>
        <v>0</v>
      </c>
      <c r="T35" s="206" t="str">
        <f t="shared" si="9"/>
        <v/>
      </c>
      <c r="U35" s="250">
        <f t="shared" si="10"/>
        <v>0</v>
      </c>
      <c r="V35" s="249">
        <f>IF('NW - E5'!E24=0,0,IF('NW - E5'!E24&gt;=0,'NW - E5'!E24))</f>
        <v>0</v>
      </c>
      <c r="W35" s="206" t="str">
        <f t="shared" si="11"/>
        <v/>
      </c>
      <c r="X35" s="250">
        <f t="shared" si="12"/>
        <v>0</v>
      </c>
      <c r="Y35" s="249">
        <f>IF('NW - E5'!I24=0,0,IF('NW - E5'!I24&gt;=0,'NW - E5'!I24))</f>
        <v>0</v>
      </c>
      <c r="Z35" s="206" t="str">
        <f t="shared" si="13"/>
        <v/>
      </c>
      <c r="AA35" s="250">
        <f t="shared" si="14"/>
        <v>0</v>
      </c>
      <c r="AB35" s="249">
        <f>IF('NW - E5'!H24=0,0,IF('NW - E5'!H24&gt;=0,'NW - E5'!H24))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M5'!C36="","",IF('RIO - M5'!C36&gt;"",'RIO - M5'!C36))</f>
        <v/>
      </c>
      <c r="D36" s="149" t="str">
        <f>IF('NW - E5'!N25="","",IF('NW - E5'!N25="A+","A",IF('NW - E5'!N25="A","A",IF('NW - E5'!N25="B","B",IF('NW - E5'!N25="C","C",IF('NW - E5'!N25="C-","C",IF('NW - E5'!N25="D","D",IF('NW - E5'!N25="E","E"))))))))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E5'!D25=0,0,IF('NW - E5'!D25&gt;=0,'NW - E5'!D25))</f>
        <v>0</v>
      </c>
      <c r="Q36" s="206" t="str">
        <f t="shared" si="7"/>
        <v/>
      </c>
      <c r="R36" s="250">
        <f t="shared" si="8"/>
        <v>0</v>
      </c>
      <c r="S36" s="249">
        <f>IF('NW - E5'!F25=0,0,IF('NW - E5'!F25&gt;=0,'NW - E5'!F25))</f>
        <v>0</v>
      </c>
      <c r="T36" s="206" t="str">
        <f t="shared" si="9"/>
        <v/>
      </c>
      <c r="U36" s="250">
        <f t="shared" si="10"/>
        <v>0</v>
      </c>
      <c r="V36" s="249">
        <f>IF('NW - E5'!E25=0,0,IF('NW - E5'!E25&gt;=0,'NW - E5'!E25))</f>
        <v>0</v>
      </c>
      <c r="W36" s="206" t="str">
        <f t="shared" si="11"/>
        <v/>
      </c>
      <c r="X36" s="250">
        <f t="shared" si="12"/>
        <v>0</v>
      </c>
      <c r="Y36" s="249">
        <f>IF('NW - E5'!I25=0,0,IF('NW - E5'!I25&gt;=0,'NW - E5'!I25))</f>
        <v>0</v>
      </c>
      <c r="Z36" s="206" t="str">
        <f t="shared" si="13"/>
        <v/>
      </c>
      <c r="AA36" s="250">
        <f t="shared" si="14"/>
        <v>0</v>
      </c>
      <c r="AB36" s="249">
        <f>IF('NW - E5'!H25=0,0,IF('NW - E5'!H25&gt;=0,'NW - E5'!H25))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M5'!C37="","",IF('RIO - M5'!C37&gt;"",'RIO - M5'!C37))</f>
        <v/>
      </c>
      <c r="D37" s="149" t="str">
        <f>IF('NW - E5'!N26="","",IF('NW - E5'!N26="A+","A",IF('NW - E5'!N26="A","A",IF('NW - E5'!N26="B","B",IF('NW - E5'!N26="C","C",IF('NW - E5'!N26="C-","C",IF('NW - E5'!N26="D","D",IF('NW - E5'!N26="E","E"))))))))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E5'!D26=0,0,IF('NW - E5'!D26&gt;=0,'NW - E5'!D26))</f>
        <v>0</v>
      </c>
      <c r="Q37" s="206" t="str">
        <f t="shared" si="7"/>
        <v/>
      </c>
      <c r="R37" s="250">
        <f t="shared" si="8"/>
        <v>0</v>
      </c>
      <c r="S37" s="249">
        <f>IF('NW - E5'!F26=0,0,IF('NW - E5'!F26&gt;=0,'NW - E5'!F26))</f>
        <v>0</v>
      </c>
      <c r="T37" s="206" t="str">
        <f t="shared" si="9"/>
        <v/>
      </c>
      <c r="U37" s="250">
        <f t="shared" si="10"/>
        <v>0</v>
      </c>
      <c r="V37" s="249">
        <f>IF('NW - E5'!E26=0,0,IF('NW - E5'!E26&gt;=0,'NW - E5'!E26))</f>
        <v>0</v>
      </c>
      <c r="W37" s="206" t="str">
        <f t="shared" si="11"/>
        <v/>
      </c>
      <c r="X37" s="250">
        <f t="shared" si="12"/>
        <v>0</v>
      </c>
      <c r="Y37" s="249">
        <f>IF('NW - E5'!I26=0,0,IF('NW - E5'!I26&gt;=0,'NW - E5'!I26))</f>
        <v>0</v>
      </c>
      <c r="Z37" s="206" t="str">
        <f t="shared" si="13"/>
        <v/>
      </c>
      <c r="AA37" s="250">
        <f t="shared" si="14"/>
        <v>0</v>
      </c>
      <c r="AB37" s="249">
        <f>IF('NW - E5'!H26=0,0,IF('NW - E5'!H26&gt;=0,'NW - E5'!H26))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M5'!C38="","",IF('RIO - M5'!C38&gt;"",'RIO - M5'!C38))</f>
        <v/>
      </c>
      <c r="D38" s="149" t="str">
        <f>IF('NW - E5'!N27="","",IF('NW - E5'!N27="A+","A",IF('NW - E5'!N27="A","A",IF('NW - E5'!N27="B","B",IF('NW - E5'!N27="C","C",IF('NW - E5'!N27="C-","C",IF('NW - E5'!N27="D","D",IF('NW - E5'!N27="E","E"))))))))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E5'!D27=0,0,IF('NW - E5'!D27&gt;=0,'NW - E5'!D27))</f>
        <v>0</v>
      </c>
      <c r="Q38" s="206" t="str">
        <f t="shared" si="7"/>
        <v/>
      </c>
      <c r="R38" s="250">
        <f t="shared" si="8"/>
        <v>0</v>
      </c>
      <c r="S38" s="249">
        <f>IF('NW - E5'!F27=0,0,IF('NW - E5'!F27&gt;=0,'NW - E5'!F27))</f>
        <v>0</v>
      </c>
      <c r="T38" s="206" t="str">
        <f t="shared" si="9"/>
        <v/>
      </c>
      <c r="U38" s="250">
        <f t="shared" si="10"/>
        <v>0</v>
      </c>
      <c r="V38" s="249">
        <f>IF('NW - E5'!E27=0,0,IF('NW - E5'!E27&gt;=0,'NW - E5'!E27))</f>
        <v>0</v>
      </c>
      <c r="W38" s="206" t="str">
        <f t="shared" si="11"/>
        <v/>
      </c>
      <c r="X38" s="250">
        <f t="shared" si="12"/>
        <v>0</v>
      </c>
      <c r="Y38" s="249">
        <f>IF('NW - E5'!I27=0,0,IF('NW - E5'!I27&gt;=0,'NW - E5'!I27))</f>
        <v>0</v>
      </c>
      <c r="Z38" s="206" t="str">
        <f t="shared" si="13"/>
        <v/>
      </c>
      <c r="AA38" s="250">
        <f t="shared" si="14"/>
        <v>0</v>
      </c>
      <c r="AB38" s="249">
        <f>IF('NW - E5'!H27=0,0,IF('NW - E5'!H27&gt;=0,'NW - E5'!H27))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M5'!C39="","",IF('RIO - M5'!C39&gt;"",'RIO - M5'!C39))</f>
        <v/>
      </c>
      <c r="D39" s="149" t="str">
        <f>IF('NW - E5'!N28="","",IF('NW - E5'!N28="A+","A",IF('NW - E5'!N28="A","A",IF('NW - E5'!N28="B","B",IF('NW - E5'!N28="C","C",IF('NW - E5'!N28="C-","C",IF('NW - E5'!N28="D","D",IF('NW - E5'!N28="E","E"))))))))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E5'!D28=0,0,IF('NW - E5'!D28&gt;=0,'NW - E5'!D28))</f>
        <v>0</v>
      </c>
      <c r="Q39" s="206" t="str">
        <f t="shared" si="7"/>
        <v/>
      </c>
      <c r="R39" s="250">
        <f t="shared" si="8"/>
        <v>0</v>
      </c>
      <c r="S39" s="249">
        <f>IF('NW - E5'!F28=0,0,IF('NW - E5'!F28&gt;=0,'NW - E5'!F28))</f>
        <v>0</v>
      </c>
      <c r="T39" s="206" t="str">
        <f t="shared" si="9"/>
        <v/>
      </c>
      <c r="U39" s="250">
        <f t="shared" si="10"/>
        <v>0</v>
      </c>
      <c r="V39" s="249">
        <f>IF('NW - E5'!E28=0,0,IF('NW - E5'!E28&gt;=0,'NW - E5'!E28))</f>
        <v>0</v>
      </c>
      <c r="W39" s="206" t="str">
        <f t="shared" si="11"/>
        <v/>
      </c>
      <c r="X39" s="250">
        <f t="shared" si="12"/>
        <v>0</v>
      </c>
      <c r="Y39" s="249">
        <f>IF('NW - E5'!I28=0,0,IF('NW - E5'!I28&gt;=0,'NW - E5'!I28))</f>
        <v>0</v>
      </c>
      <c r="Z39" s="206" t="str">
        <f t="shared" si="13"/>
        <v/>
      </c>
      <c r="AA39" s="250">
        <f t="shared" si="14"/>
        <v>0</v>
      </c>
      <c r="AB39" s="249">
        <f>IF('NW - E5'!H28=0,0,IF('NW - E5'!H28&gt;=0,'NW - E5'!H28))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M5'!C40="","",IF('RIO - M5'!C40&gt;"",'RIO - M5'!C40))</f>
        <v/>
      </c>
      <c r="D40" s="149" t="str">
        <f>IF('NW - E5'!N29="","",IF('NW - E5'!N29="A+","A",IF('NW - E5'!N29="A","A",IF('NW - E5'!N29="B","B",IF('NW - E5'!N29="C","C",IF('NW - E5'!N29="C-","C",IF('NW - E5'!N29="D","D",IF('NW - E5'!N29="E","E"))))))))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E5'!D29=0,0,IF('NW - E5'!D29&gt;=0,'NW - E5'!D29))</f>
        <v>0</v>
      </c>
      <c r="Q40" s="206" t="str">
        <f t="shared" si="7"/>
        <v/>
      </c>
      <c r="R40" s="250">
        <f t="shared" si="8"/>
        <v>0</v>
      </c>
      <c r="S40" s="249">
        <f>IF('NW - E5'!F29=0,0,IF('NW - E5'!F29&gt;=0,'NW - E5'!F29))</f>
        <v>0</v>
      </c>
      <c r="T40" s="206" t="str">
        <f t="shared" si="9"/>
        <v/>
      </c>
      <c r="U40" s="250">
        <f t="shared" si="10"/>
        <v>0</v>
      </c>
      <c r="V40" s="249">
        <f>IF('NW - E5'!E29=0,0,IF('NW - E5'!E29&gt;=0,'NW - E5'!E29))</f>
        <v>0</v>
      </c>
      <c r="W40" s="206" t="str">
        <f t="shared" si="11"/>
        <v/>
      </c>
      <c r="X40" s="250">
        <f t="shared" si="12"/>
        <v>0</v>
      </c>
      <c r="Y40" s="249">
        <f>IF('NW - E5'!I29=0,0,IF('NW - E5'!I29&gt;=0,'NW - E5'!I29))</f>
        <v>0</v>
      </c>
      <c r="Z40" s="206" t="str">
        <f t="shared" si="13"/>
        <v/>
      </c>
      <c r="AA40" s="250">
        <f t="shared" si="14"/>
        <v>0</v>
      </c>
      <c r="AB40" s="249">
        <f>IF('NW - E5'!H29=0,0,IF('NW - E5'!H29&gt;=0,'NW - E5'!H29))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M5'!C41="","",IF('RIO - M5'!C41&gt;"",'RIO - M5'!C41))</f>
        <v/>
      </c>
      <c r="D41" s="149" t="str">
        <f>IF('NW - E5'!N30="","",IF('NW - E5'!N30="A+","A",IF('NW - E5'!N30="A","A",IF('NW - E5'!N30="B","B",IF('NW - E5'!N30="C","C",IF('NW - E5'!N30="C-","C",IF('NW - E5'!N30="D","D",IF('NW - E5'!N30="E","E"))))))))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E5'!D30=0,0,IF('NW - E5'!D30&gt;=0,'NW - E5'!D30))</f>
        <v>0</v>
      </c>
      <c r="Q41" s="206" t="str">
        <f t="shared" si="7"/>
        <v/>
      </c>
      <c r="R41" s="250">
        <f t="shared" si="8"/>
        <v>0</v>
      </c>
      <c r="S41" s="249">
        <f>IF('NW - E5'!F30=0,0,IF('NW - E5'!F30&gt;=0,'NW - E5'!F30))</f>
        <v>0</v>
      </c>
      <c r="T41" s="206" t="str">
        <f t="shared" si="9"/>
        <v/>
      </c>
      <c r="U41" s="250">
        <f t="shared" si="10"/>
        <v>0</v>
      </c>
      <c r="V41" s="249">
        <f>IF('NW - E5'!E30=0,0,IF('NW - E5'!E30&gt;=0,'NW - E5'!E30))</f>
        <v>0</v>
      </c>
      <c r="W41" s="206" t="str">
        <f t="shared" si="11"/>
        <v/>
      </c>
      <c r="X41" s="250">
        <f t="shared" si="12"/>
        <v>0</v>
      </c>
      <c r="Y41" s="249">
        <f>IF('NW - E5'!I30=0,0,IF('NW - E5'!I30&gt;=0,'NW - E5'!I30))</f>
        <v>0</v>
      </c>
      <c r="Z41" s="206" t="str">
        <f t="shared" si="13"/>
        <v/>
      </c>
      <c r="AA41" s="250">
        <f t="shared" si="14"/>
        <v>0</v>
      </c>
      <c r="AB41" s="249">
        <f>IF('NW - E5'!H30=0,0,IF('NW - E5'!H30&gt;=0,'NW - E5'!H30))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M5'!C42="","",IF('RIO - M5'!C42&gt;"",'RIO - M5'!C42))</f>
        <v/>
      </c>
      <c r="D42" s="149" t="str">
        <f>IF('NW - E5'!N31="","",IF('NW - E5'!N31="A+","A",IF('NW - E5'!N31="A","A",IF('NW - E5'!N31="B","B",IF('NW - E5'!N31="C","C",IF('NW - E5'!N31="C-","C",IF('NW - E5'!N31="D","D",IF('NW - E5'!N31="E","E"))))))))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E5'!D31=0,0,IF('NW - E5'!D31&gt;=0,'NW - E5'!D31))</f>
        <v>0</v>
      </c>
      <c r="Q42" s="206" t="str">
        <f t="shared" si="7"/>
        <v/>
      </c>
      <c r="R42" s="250">
        <f t="shared" si="8"/>
        <v>0</v>
      </c>
      <c r="S42" s="249">
        <f>IF('NW - E5'!F31=0,0,IF('NW - E5'!F31&gt;=0,'NW - E5'!F31))</f>
        <v>0</v>
      </c>
      <c r="T42" s="206" t="str">
        <f t="shared" si="9"/>
        <v/>
      </c>
      <c r="U42" s="250">
        <f t="shared" si="10"/>
        <v>0</v>
      </c>
      <c r="V42" s="249">
        <f>IF('NW - E5'!E31=0,0,IF('NW - E5'!E31&gt;=0,'NW - E5'!E31))</f>
        <v>0</v>
      </c>
      <c r="W42" s="206" t="str">
        <f t="shared" si="11"/>
        <v/>
      </c>
      <c r="X42" s="250">
        <f t="shared" si="12"/>
        <v>0</v>
      </c>
      <c r="Y42" s="249">
        <f>IF('NW - E5'!I31=0,0,IF('NW - E5'!I31&gt;=0,'NW - E5'!I31))</f>
        <v>0</v>
      </c>
      <c r="Z42" s="206" t="str">
        <f t="shared" si="13"/>
        <v/>
      </c>
      <c r="AA42" s="250">
        <f t="shared" si="14"/>
        <v>0</v>
      </c>
      <c r="AB42" s="249">
        <f>IF('NW - E5'!H31=0,0,IF('NW - E5'!H31&gt;=0,'NW - E5'!H31))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M5'!C43="","",IF('RIO - M5'!C43&gt;"",'RIO - M5'!C43))</f>
        <v/>
      </c>
      <c r="D43" s="149" t="str">
        <f>IF('NW - E5'!N32="","",IF('NW - E5'!N32="A+","A",IF('NW - E5'!N32="A","A",IF('NW - E5'!N32="B","B",IF('NW - E5'!N32="C","C",IF('NW - E5'!N32="C-","C",IF('NW - E5'!N32="D","D",IF('NW - E5'!N32="E","E"))))))))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E5'!D32=0,0,IF('NW - E5'!D32&gt;=0,'NW - E5'!D32))</f>
        <v>0</v>
      </c>
      <c r="Q43" s="206" t="str">
        <f t="shared" si="7"/>
        <v/>
      </c>
      <c r="R43" s="250">
        <f t="shared" si="8"/>
        <v>0</v>
      </c>
      <c r="S43" s="249">
        <f>IF('NW - E5'!F32=0,0,IF('NW - E5'!F32&gt;=0,'NW - E5'!F32))</f>
        <v>0</v>
      </c>
      <c r="T43" s="206" t="str">
        <f t="shared" si="9"/>
        <v/>
      </c>
      <c r="U43" s="250">
        <f t="shared" si="10"/>
        <v>0</v>
      </c>
      <c r="V43" s="249">
        <f>IF('NW - E5'!E32=0,0,IF('NW - E5'!E32&gt;=0,'NW - E5'!E32))</f>
        <v>0</v>
      </c>
      <c r="W43" s="206" t="str">
        <f t="shared" si="11"/>
        <v/>
      </c>
      <c r="X43" s="250">
        <f t="shared" si="12"/>
        <v>0</v>
      </c>
      <c r="Y43" s="249">
        <f>IF('NW - E5'!I32=0,0,IF('NW - E5'!I32&gt;=0,'NW - E5'!I32))</f>
        <v>0</v>
      </c>
      <c r="Z43" s="206" t="str">
        <f t="shared" si="13"/>
        <v/>
      </c>
      <c r="AA43" s="250">
        <f t="shared" si="14"/>
        <v>0</v>
      </c>
      <c r="AB43" s="249">
        <f>IF('NW - E5'!H32=0,0,IF('NW - E5'!H32&gt;=0,'NW - E5'!H32))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M5'!C44="","",IF('RIO - M5'!C44&gt;"",'RIO - M5'!C44))</f>
        <v/>
      </c>
      <c r="D44" s="149" t="str">
        <f>IF('NW - E5'!N33="","",IF('NW - E5'!N33="A+","A",IF('NW - E5'!N33="A","A",IF('NW - E5'!N33="B","B",IF('NW - E5'!N33="C","C",IF('NW - E5'!N33="C-","C",IF('NW - E5'!N33="D","D",IF('NW - E5'!N33="E","E"))))))))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E5'!D33=0,0,IF('NW - E5'!D33&gt;=0,'NW - E5'!D33))</f>
        <v>0</v>
      </c>
      <c r="Q44" s="206" t="str">
        <f t="shared" si="7"/>
        <v/>
      </c>
      <c r="R44" s="250">
        <f t="shared" si="8"/>
        <v>0</v>
      </c>
      <c r="S44" s="249">
        <f>IF('NW - E5'!F33=0,0,IF('NW - E5'!F33&gt;=0,'NW - E5'!F33))</f>
        <v>0</v>
      </c>
      <c r="T44" s="206" t="str">
        <f t="shared" si="9"/>
        <v/>
      </c>
      <c r="U44" s="250">
        <f t="shared" si="10"/>
        <v>0</v>
      </c>
      <c r="V44" s="249">
        <f>IF('NW - E5'!E33=0,0,IF('NW - E5'!E33&gt;=0,'NW - E5'!E33))</f>
        <v>0</v>
      </c>
      <c r="W44" s="206" t="str">
        <f t="shared" si="11"/>
        <v/>
      </c>
      <c r="X44" s="250">
        <f t="shared" si="12"/>
        <v>0</v>
      </c>
      <c r="Y44" s="249">
        <f>IF('NW - E5'!I33=0,0,IF('NW - E5'!I33&gt;=0,'NW - E5'!I33))</f>
        <v>0</v>
      </c>
      <c r="Z44" s="206" t="str">
        <f t="shared" si="13"/>
        <v/>
      </c>
      <c r="AA44" s="250">
        <f t="shared" si="14"/>
        <v>0</v>
      </c>
      <c r="AB44" s="249">
        <f>IF('NW - E5'!H33=0,0,IF('NW - E5'!H33&gt;=0,'NW - E5'!H33))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f>IF($J$1=5,3,IF($J$1="5A",3,IF($J$1="5B",3,IF($J$1="5C",3))))</f>
        <v>3</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M5'!C45="","",IF('RIO - M5'!C45&gt;"",'RIO - M5'!C45))</f>
        <v/>
      </c>
      <c r="D45" s="149" t="str">
        <f>IF('NW - E5'!N34="","",IF('NW - E5'!N34="A+","A",IF('NW - E5'!N34="A","A",IF('NW - E5'!N34="B","B",IF('NW - E5'!N34="C","C",IF('NW - E5'!N34="C-","C",IF('NW - E5'!N34="D","D",IF('NW - E5'!N34="E","E"))))))))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E5'!D34=0,0,IF('NW - E5'!D34&gt;=0,'NW - E5'!D34))</f>
        <v>0</v>
      </c>
      <c r="Q45" s="206" t="str">
        <f t="shared" si="7"/>
        <v/>
      </c>
      <c r="R45" s="250">
        <f t="shared" si="8"/>
        <v>0</v>
      </c>
      <c r="S45" s="249">
        <f>IF('NW - E5'!F34=0,0,IF('NW - E5'!F34&gt;=0,'NW - E5'!F34))</f>
        <v>0</v>
      </c>
      <c r="T45" s="206" t="str">
        <f t="shared" si="9"/>
        <v/>
      </c>
      <c r="U45" s="250">
        <f t="shared" si="10"/>
        <v>0</v>
      </c>
      <c r="V45" s="249">
        <f>IF('NW - E5'!E34=0,0,IF('NW - E5'!E34&gt;=0,'NW - E5'!E34))</f>
        <v>0</v>
      </c>
      <c r="W45" s="206" t="str">
        <f t="shared" si="11"/>
        <v/>
      </c>
      <c r="X45" s="250">
        <f t="shared" si="12"/>
        <v>0</v>
      </c>
      <c r="Y45" s="249">
        <f>IF('NW - E5'!I34=0,0,IF('NW - E5'!I34&gt;=0,'NW - E5'!I34))</f>
        <v>0</v>
      </c>
      <c r="Z45" s="206" t="str">
        <f t="shared" si="13"/>
        <v/>
      </c>
      <c r="AA45" s="250">
        <f t="shared" si="14"/>
        <v>0</v>
      </c>
      <c r="AB45" s="249">
        <f>IF('NW - E5'!H34=0,0,IF('NW - E5'!H34&gt;=0,'NW - E5'!H34))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t="b">
        <f>IF($J$1=6,4,IF($J$1="6A",4,IF($J$1="6B",4,IF($J$1="6C",4))))</f>
        <v>0</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M5'!C46="","",IF('RIO - M5'!C46&gt;"",'RIO - M5'!C46))</f>
        <v/>
      </c>
      <c r="D46" s="149" t="str">
        <f>IF('NW - E5'!N35="","",IF('NW - E5'!N35="A+","A",IF('NW - E5'!N35="A","A",IF('NW - E5'!N35="B","B",IF('NW - E5'!N35="C","C",IF('NW - E5'!N35="C-","C",IF('NW - E5'!N35="D","D",IF('NW - E5'!N35="E","E"))))))))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E5'!D35=0,0,IF('NW - E5'!D35&gt;=0,'NW - E5'!D35))</f>
        <v>0</v>
      </c>
      <c r="Q46" s="206" t="str">
        <f t="shared" si="7"/>
        <v/>
      </c>
      <c r="R46" s="250">
        <f t="shared" si="8"/>
        <v>0</v>
      </c>
      <c r="S46" s="249">
        <f>IF('NW - E5'!F35=0,0,IF('NW - E5'!F35&gt;=0,'NW - E5'!F35))</f>
        <v>0</v>
      </c>
      <c r="T46" s="206" t="str">
        <f t="shared" si="9"/>
        <v/>
      </c>
      <c r="U46" s="250">
        <f t="shared" si="10"/>
        <v>0</v>
      </c>
      <c r="V46" s="249">
        <f>IF('NW - E5'!E35=0,0,IF('NW - E5'!E35&gt;=0,'NW - E5'!E35))</f>
        <v>0</v>
      </c>
      <c r="W46" s="206" t="str">
        <f t="shared" si="11"/>
        <v/>
      </c>
      <c r="X46" s="250">
        <f t="shared" si="12"/>
        <v>0</v>
      </c>
      <c r="Y46" s="249">
        <f>IF('NW - E5'!I35=0,0,IF('NW - E5'!I35&gt;=0,'NW - E5'!I35))</f>
        <v>0</v>
      </c>
      <c r="Z46" s="206" t="str">
        <f t="shared" si="13"/>
        <v/>
      </c>
      <c r="AA46" s="250">
        <f t="shared" si="14"/>
        <v>0</v>
      </c>
      <c r="AB46" s="249">
        <f>IF('NW - E5'!H35=0,0,IF('NW - E5'!H35&gt;=0,'NW - E5'!H35))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t="b">
        <f>IF($J$1=7,5,IF($J$1="7A",5,IF($J$1="7B",5,IF($J$1="7C",5))))</f>
        <v>0</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M5'!C47="","",IF('RIO - M5'!C47&gt;"",'RIO - M5'!C47))</f>
        <v/>
      </c>
      <c r="D47" s="149" t="str">
        <f>IF('NW - E5'!N36="","",IF('NW - E5'!N36="A+","A",IF('NW - E5'!N36="A","A",IF('NW - E5'!N36="B","B",IF('NW - E5'!N36="C","C",IF('NW - E5'!N36="C-","C",IF('NW - E5'!N36="D","D",IF('NW - E5'!N36="E","E"))))))))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E5'!D36=0,0,IF('NW - E5'!D36&gt;=0,'NW - E5'!D36))</f>
        <v>0</v>
      </c>
      <c r="Q47" s="206" t="str">
        <f t="shared" si="7"/>
        <v/>
      </c>
      <c r="R47" s="250">
        <f t="shared" si="8"/>
        <v>0</v>
      </c>
      <c r="S47" s="249">
        <f>IF('NW - E5'!F36=0,0,IF('NW - E5'!F36&gt;=0,'NW - E5'!F36))</f>
        <v>0</v>
      </c>
      <c r="T47" s="206" t="str">
        <f t="shared" si="9"/>
        <v/>
      </c>
      <c r="U47" s="250">
        <f t="shared" si="10"/>
        <v>0</v>
      </c>
      <c r="V47" s="249">
        <f>IF('NW - E5'!E36=0,0,IF('NW - E5'!E36&gt;=0,'NW - E5'!E36))</f>
        <v>0</v>
      </c>
      <c r="W47" s="206" t="str">
        <f t="shared" si="11"/>
        <v/>
      </c>
      <c r="X47" s="250">
        <f t="shared" si="12"/>
        <v>0</v>
      </c>
      <c r="Y47" s="249">
        <f>IF('NW - E5'!I36=0,0,IF('NW - E5'!I36&gt;=0,'NW - E5'!I36))</f>
        <v>0</v>
      </c>
      <c r="Z47" s="206" t="str">
        <f t="shared" si="13"/>
        <v/>
      </c>
      <c r="AA47" s="250">
        <f t="shared" si="14"/>
        <v>0</v>
      </c>
      <c r="AB47" s="249">
        <f>IF('NW - E5'!H36=0,0,IF('NW - E5'!H36&gt;=0,'NW - E5'!H36))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M5'!C48="","",IF('RIO - M5'!C48&gt;"",'RIO - M5'!C48))</f>
        <v/>
      </c>
      <c r="D48" s="149" t="str">
        <f>IF('NW - E5'!N37="","",IF('NW - E5'!N37="A+","A",IF('NW - E5'!N37="A","A",IF('NW - E5'!N37="B","B",IF('NW - E5'!N37="C","C",IF('NW - E5'!N37="C-","C",IF('NW - E5'!N37="D","D",IF('NW - E5'!N37="E","E"))))))))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E5'!D37=0,0,IF('NW - E5'!D37&gt;=0,'NW - E5'!D37))</f>
        <v>0</v>
      </c>
      <c r="Q48" s="206" t="str">
        <f t="shared" si="7"/>
        <v/>
      </c>
      <c r="R48" s="250">
        <f t="shared" si="8"/>
        <v>0</v>
      </c>
      <c r="S48" s="249">
        <f>IF('NW - E5'!F37=0,0,IF('NW - E5'!F37&gt;=0,'NW - E5'!F37))</f>
        <v>0</v>
      </c>
      <c r="T48" s="206" t="str">
        <f t="shared" si="9"/>
        <v/>
      </c>
      <c r="U48" s="250">
        <f t="shared" si="10"/>
        <v>0</v>
      </c>
      <c r="V48" s="249">
        <f>IF('NW - E5'!E37=0,0,IF('NW - E5'!E37&gt;=0,'NW - E5'!E37))</f>
        <v>0</v>
      </c>
      <c r="W48" s="206" t="str">
        <f t="shared" si="11"/>
        <v/>
      </c>
      <c r="X48" s="250">
        <f t="shared" si="12"/>
        <v>0</v>
      </c>
      <c r="Y48" s="249">
        <f>IF('NW - E5'!I37=0,0,IF('NW - E5'!I37&gt;=0,'NW - E5'!I37))</f>
        <v>0</v>
      </c>
      <c r="Z48" s="206" t="str">
        <f t="shared" si="13"/>
        <v/>
      </c>
      <c r="AA48" s="250">
        <f t="shared" si="14"/>
        <v>0</v>
      </c>
      <c r="AB48" s="249">
        <f>IF('NW - E5'!H37=0,0,IF('NW - E5'!H37&gt;=0,'NW - E5'!H37))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M5'!C49="","",IF('RIO - M5'!C49&gt;"",'RIO - M5'!C49))</f>
        <v/>
      </c>
      <c r="D49" s="149" t="str">
        <f>IF('NW - E5'!N38="","",IF('NW - E5'!N38="A+","A",IF('NW - E5'!N38="A","A",IF('NW - E5'!N38="B","B",IF('NW - E5'!N38="C","C",IF('NW - E5'!N38="C-","C",IF('NW - E5'!N38="D","D",IF('NW - E5'!N38="E","E"))))))))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E5'!D38=0,0,IF('NW - E5'!D38&gt;=0,'NW - E5'!D38))</f>
        <v>0</v>
      </c>
      <c r="Q49" s="206" t="str">
        <f t="shared" si="7"/>
        <v/>
      </c>
      <c r="R49" s="250">
        <f t="shared" si="8"/>
        <v>0</v>
      </c>
      <c r="S49" s="249">
        <f>IF('NW - E5'!F38=0,0,IF('NW - E5'!F38&gt;=0,'NW - E5'!F38))</f>
        <v>0</v>
      </c>
      <c r="T49" s="206" t="str">
        <f t="shared" si="9"/>
        <v/>
      </c>
      <c r="U49" s="250">
        <f t="shared" si="10"/>
        <v>0</v>
      </c>
      <c r="V49" s="249">
        <f>IF('NW - E5'!E38=0,0,IF('NW - E5'!E38&gt;=0,'NW - E5'!E38))</f>
        <v>0</v>
      </c>
      <c r="W49" s="206" t="str">
        <f t="shared" si="11"/>
        <v/>
      </c>
      <c r="X49" s="250">
        <f t="shared" si="12"/>
        <v>0</v>
      </c>
      <c r="Y49" s="249">
        <f>IF('NW - E5'!I38=0,0,IF('NW - E5'!I38&gt;=0,'NW - E5'!I38))</f>
        <v>0</v>
      </c>
      <c r="Z49" s="206" t="str">
        <f t="shared" si="13"/>
        <v/>
      </c>
      <c r="AA49" s="250">
        <f t="shared" si="14"/>
        <v>0</v>
      </c>
      <c r="AB49" s="249">
        <f>IF('NW - E5'!H38=0,0,IF('NW - E5'!H38&gt;=0,'NW - E5'!H38))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M5'!C50="","",IF('RIO - M5'!C50&gt;"",'RIO - M5'!C50))</f>
        <v/>
      </c>
      <c r="D50" s="149" t="str">
        <f>IF('NW - E5'!N39="","",IF('NW - E5'!N39="A+","A",IF('NW - E5'!N39="A","A",IF('NW - E5'!N39="B","B",IF('NW - E5'!N39="C","C",IF('NW - E5'!N39="C-","C",IF('NW - E5'!N39="D","D",IF('NW - E5'!N39="E","E"))))))))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E5'!D39=0,0,IF('NW - E5'!D39&gt;=0,'NW - E5'!D39))</f>
        <v>0</v>
      </c>
      <c r="Q50" s="206" t="str">
        <f t="shared" si="7"/>
        <v/>
      </c>
      <c r="R50" s="250">
        <f t="shared" si="8"/>
        <v>0</v>
      </c>
      <c r="S50" s="249">
        <f>IF('NW - E5'!F39=0,0,IF('NW - E5'!F39&gt;=0,'NW - E5'!F39))</f>
        <v>0</v>
      </c>
      <c r="T50" s="206" t="str">
        <f t="shared" si="9"/>
        <v/>
      </c>
      <c r="U50" s="250">
        <f t="shared" si="10"/>
        <v>0</v>
      </c>
      <c r="V50" s="249">
        <f>IF('NW - E5'!E39=0,0,IF('NW - E5'!E39&gt;=0,'NW - E5'!E39))</f>
        <v>0</v>
      </c>
      <c r="W50" s="206" t="str">
        <f t="shared" si="11"/>
        <v/>
      </c>
      <c r="X50" s="250">
        <f t="shared" si="12"/>
        <v>0</v>
      </c>
      <c r="Y50" s="249">
        <f>IF('NW - E5'!I39=0,0,IF('NW - E5'!I39&gt;=0,'NW - E5'!I39))</f>
        <v>0</v>
      </c>
      <c r="Z50" s="206" t="str">
        <f t="shared" si="13"/>
        <v/>
      </c>
      <c r="AA50" s="250">
        <f t="shared" si="14"/>
        <v>0</v>
      </c>
      <c r="AB50" s="249">
        <f>IF('NW - E5'!H39=0,0,IF('NW - E5'!H39&gt;=0,'NW - E5'!H39))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M5'!C51="","",IF('RIO - M5'!C51&gt;"",'RIO - M5'!C51))</f>
        <v/>
      </c>
      <c r="D51" s="149" t="str">
        <f>IF('NW - E5'!N40="","",IF('NW - E5'!N40="A+","A",IF('NW - E5'!N40="A","A",IF('NW - E5'!N40="B","B",IF('NW - E5'!N40="C","C",IF('NW - E5'!N40="C-","C",IF('NW - E5'!N40="D","D",IF('NW - E5'!N40="E","E"))))))))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E5'!D40=0,0,IF('NW - E5'!D40&gt;=0,'NW - E5'!D40))</f>
        <v>0</v>
      </c>
      <c r="Q51" s="206" t="str">
        <f t="shared" si="7"/>
        <v/>
      </c>
      <c r="R51" s="250">
        <f t="shared" si="8"/>
        <v>0</v>
      </c>
      <c r="S51" s="249">
        <f>IF('NW - E5'!F40=0,0,IF('NW - E5'!F40&gt;=0,'NW - E5'!F40))</f>
        <v>0</v>
      </c>
      <c r="T51" s="206" t="str">
        <f t="shared" si="9"/>
        <v/>
      </c>
      <c r="U51" s="250">
        <f t="shared" si="10"/>
        <v>0</v>
      </c>
      <c r="V51" s="249">
        <f>IF('NW - E5'!E40=0,0,IF('NW - E5'!E40&gt;=0,'NW - E5'!E40))</f>
        <v>0</v>
      </c>
      <c r="W51" s="206" t="str">
        <f t="shared" si="11"/>
        <v/>
      </c>
      <c r="X51" s="250">
        <f t="shared" si="12"/>
        <v>0</v>
      </c>
      <c r="Y51" s="249">
        <f>IF('NW - E5'!I40=0,0,IF('NW - E5'!I40&gt;=0,'NW - E5'!I40))</f>
        <v>0</v>
      </c>
      <c r="Z51" s="206" t="str">
        <f t="shared" si="13"/>
        <v/>
      </c>
      <c r="AA51" s="250">
        <f t="shared" si="14"/>
        <v>0</v>
      </c>
      <c r="AB51" s="249">
        <f>IF('NW - E5'!H40=0,0,IF('NW - E5'!H40&gt;=0,'NW - E5'!H40))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M5'!C52="","",IF('RIO - M5'!C52&gt;"",'RIO - M5'!C52))</f>
        <v/>
      </c>
      <c r="D52" s="149" t="str">
        <f>IF('NW - E5'!N41="","",IF('NW - E5'!N41="A+","A",IF('NW - E5'!N41="A","A",IF('NW - E5'!N41="B","B",IF('NW - E5'!N41="C","C",IF('NW - E5'!N41="C-","C",IF('NW - E5'!N41="D","D",IF('NW - E5'!N41="E","E"))))))))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E5'!D41=0,0,IF('NW - E5'!D41&gt;=0,'NW - E5'!D41))</f>
        <v>0</v>
      </c>
      <c r="Q52" s="207" t="str">
        <f t="shared" si="7"/>
        <v/>
      </c>
      <c r="R52" s="250">
        <f t="shared" si="8"/>
        <v>0</v>
      </c>
      <c r="S52" s="249">
        <f>IF('NW - E5'!F41=0,0,IF('NW - E5'!F41&gt;=0,'NW - E5'!F41))</f>
        <v>0</v>
      </c>
      <c r="T52" s="207" t="str">
        <f t="shared" si="9"/>
        <v/>
      </c>
      <c r="U52" s="250">
        <f t="shared" si="10"/>
        <v>0</v>
      </c>
      <c r="V52" s="249">
        <f>IF('NW - E5'!E41=0,0,IF('NW - E5'!E41&gt;=0,'NW - E5'!E41))</f>
        <v>0</v>
      </c>
      <c r="W52" s="207" t="str">
        <f t="shared" si="11"/>
        <v/>
      </c>
      <c r="X52" s="250">
        <f t="shared" si="12"/>
        <v>0</v>
      </c>
      <c r="Y52" s="249">
        <f>IF('NW - E5'!I41=0,0,IF('NW - E5'!I41&gt;=0,'NW - E5'!I41))</f>
        <v>0</v>
      </c>
      <c r="Z52" s="207" t="str">
        <f t="shared" si="13"/>
        <v/>
      </c>
      <c r="AA52" s="250">
        <f t="shared" si="14"/>
        <v>0</v>
      </c>
      <c r="AB52" s="249">
        <f>IF('NW - E5'!H41=0,0,IF('NW - E5'!H41&gt;=0,'NW - E5'!H41))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3</v>
      </c>
      <c r="C53" s="341" t="s">
        <v>76</v>
      </c>
      <c r="D53" s="342"/>
      <c r="E53" s="342"/>
      <c r="F53" s="342"/>
      <c r="G53" s="342"/>
      <c r="H53" s="342"/>
      <c r="I53" s="342"/>
      <c r="J53" s="342"/>
      <c r="K53" s="342"/>
      <c r="L53" s="342"/>
      <c r="M53" s="342"/>
      <c r="N53" s="343"/>
      <c r="O53" s="347">
        <f>IF(AD53=0,0,IF(AD53&gt;0,AD54))</f>
        <v>0.66666666666666663</v>
      </c>
      <c r="P53" s="348"/>
      <c r="Q53" s="349"/>
      <c r="R53" s="350">
        <f>IF(AE53=0,0,IF(AE53&gt;0,AE54))</f>
        <v>1</v>
      </c>
      <c r="S53" s="348"/>
      <c r="T53" s="349"/>
      <c r="U53" s="350">
        <f>IF(AF53=0,0,IF(AF53&gt;0,AF54))</f>
        <v>0.66666666666666663</v>
      </c>
      <c r="V53" s="348"/>
      <c r="W53" s="351"/>
      <c r="X53" s="347">
        <f>IF(AG53=0,0,IF(AG53&gt;0,AG54))</f>
        <v>0.66666666666666663</v>
      </c>
      <c r="Y53" s="348"/>
      <c r="Z53" s="349"/>
      <c r="AA53" s="350">
        <f>IF(AH53=0,0,IF(AH53&gt;0,AH54))</f>
        <v>0.66666666666666663</v>
      </c>
      <c r="AB53" s="348"/>
      <c r="AC53" s="351"/>
      <c r="AD53" s="173">
        <f>SUM(AD17:AD52)</f>
        <v>2</v>
      </c>
      <c r="AE53" s="126">
        <f>SUM(AE17:AE52)</f>
        <v>3</v>
      </c>
      <c r="AF53" s="126">
        <f>SUM(AF17:AF52)</f>
        <v>2</v>
      </c>
      <c r="AG53" s="126">
        <f>SUM(AG17:AG52)</f>
        <v>2</v>
      </c>
      <c r="AH53" s="126">
        <f>SUM(AH17:AH52)</f>
        <v>2</v>
      </c>
      <c r="AI53" s="127">
        <f>SUM(AV17:AV52)</f>
        <v>2.2000000000000002</v>
      </c>
      <c r="AJ53" s="127">
        <f t="shared" ref="AJ53:AS53" si="42">SUM(AJ17:AJ52)</f>
        <v>0</v>
      </c>
      <c r="AK53" s="127">
        <f t="shared" si="42"/>
        <v>0</v>
      </c>
      <c r="AL53" s="127">
        <f t="shared" si="42"/>
        <v>2.2000000000000002</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f>IF(AI53=0,"",IF(AI53&gt;0,$AI$54))</f>
        <v>0.73333333333333339</v>
      </c>
      <c r="AW53" s="129" t="str">
        <f>IF(AW54=0,"",IF(AW54&gt;0,AW54/AX54))</f>
        <v/>
      </c>
      <c r="AX53" s="1">
        <f>SUM(AX42:AX52)</f>
        <v>3</v>
      </c>
      <c r="AY53" s="130" t="str">
        <f>IF(L54=0,"",IF(L54&gt;0,AY54/L54))</f>
        <v/>
      </c>
      <c r="AZ53" s="131">
        <f>IF(B53=0,"",IF(B53&gt;0,AZ55/B53))</f>
        <v>1</v>
      </c>
      <c r="BA53" s="132"/>
      <c r="BB53" s="133" t="str">
        <f>IF(BD53=0,"",IF(BD53&gt;0,BD53/BB54))</f>
        <v/>
      </c>
      <c r="BC53" s="132"/>
      <c r="BD53" s="132">
        <f>SUM(BD17:BD52)</f>
        <v>0</v>
      </c>
      <c r="BE53" s="133" t="str">
        <f>IF(BG53=0,"",IF(BG53&gt;0,BG53/BE54))</f>
        <v/>
      </c>
      <c r="BF53" s="31"/>
      <c r="BG53" s="134">
        <f>SUM(BG17:BG52)</f>
        <v>0</v>
      </c>
    </row>
    <row r="54" spans="1:59" x14ac:dyDescent="0.2">
      <c r="B54" s="143">
        <f>COUNTIF(B17:B52,0)</f>
        <v>33</v>
      </c>
      <c r="C54" s="5"/>
      <c r="D54" s="5"/>
      <c r="E54" s="5"/>
      <c r="F54" s="5"/>
      <c r="G54" s="5"/>
      <c r="H54" s="5"/>
      <c r="I54" s="5"/>
      <c r="L54" s="5">
        <f>COUNTA(L17:L52)</f>
        <v>0</v>
      </c>
      <c r="M54" s="5">
        <f>COUNTA(M17:M52)</f>
        <v>0</v>
      </c>
      <c r="O54" s="332" t="s">
        <v>35</v>
      </c>
      <c r="P54" s="333"/>
      <c r="Q54" s="333"/>
      <c r="R54" s="333"/>
      <c r="S54" s="333"/>
      <c r="T54" s="333"/>
      <c r="U54" s="333"/>
      <c r="V54" s="333"/>
      <c r="W54" s="334"/>
      <c r="X54" s="338" t="s">
        <v>36</v>
      </c>
      <c r="Y54" s="339"/>
      <c r="Z54" s="339"/>
      <c r="AA54" s="339"/>
      <c r="AB54" s="339"/>
      <c r="AC54" s="340"/>
      <c r="AD54" s="135">
        <f t="shared" ref="AD54:AI54" si="43">AD53/AD56</f>
        <v>0.66666666666666663</v>
      </c>
      <c r="AE54" s="135">
        <f t="shared" si="43"/>
        <v>1</v>
      </c>
      <c r="AF54" s="135">
        <f t="shared" si="43"/>
        <v>0.66666666666666663</v>
      </c>
      <c r="AG54" s="135">
        <f t="shared" si="43"/>
        <v>0.66666666666666663</v>
      </c>
      <c r="AH54" s="135">
        <f t="shared" si="43"/>
        <v>0.66666666666666663</v>
      </c>
      <c r="AI54" s="135">
        <f t="shared" si="43"/>
        <v>0.73333333333333339</v>
      </c>
      <c r="AJ54" s="106">
        <f t="shared" ref="AJ54:AS54" si="44">AJ53/10</f>
        <v>0</v>
      </c>
      <c r="AK54" s="106">
        <f t="shared" si="44"/>
        <v>0</v>
      </c>
      <c r="AL54" s="106">
        <f t="shared" si="44"/>
        <v>0.22000000000000003</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99</v>
      </c>
      <c r="AY54" s="136">
        <f>SUM(AY17:AY51)</f>
        <v>0</v>
      </c>
      <c r="AZ54" s="5">
        <f>COUNTA(AZ17:AZ52)</f>
        <v>0</v>
      </c>
      <c r="BA54" s="3"/>
      <c r="BB54" s="5">
        <f>COUNTA(BB17:BB52)</f>
        <v>0</v>
      </c>
      <c r="BC54" s="5"/>
      <c r="BD54" s="5"/>
      <c r="BE54" s="5">
        <f>COUNTA(BE17:BE52)</f>
        <v>0</v>
      </c>
      <c r="BF54" s="3"/>
      <c r="BG54" s="3"/>
    </row>
    <row r="55" spans="1:59" ht="13.5" thickBot="1" x14ac:dyDescent="0.25">
      <c r="L55" s="3"/>
      <c r="M55" s="3"/>
      <c r="O55" s="335">
        <f>IF(B54=0,"",IF(B54&gt;0,(O53+R53+U53)/3))</f>
        <v>0.77777777777777768</v>
      </c>
      <c r="P55" s="336"/>
      <c r="Q55" s="336"/>
      <c r="R55" s="336"/>
      <c r="S55" s="336"/>
      <c r="T55" s="336"/>
      <c r="U55" s="336"/>
      <c r="V55" s="336"/>
      <c r="W55" s="337"/>
      <c r="X55" s="335">
        <f>IF(B54=0,"",IF(B54&gt;0,(X53+AA53)/2))</f>
        <v>0.66666666666666663</v>
      </c>
      <c r="Y55" s="336"/>
      <c r="Z55" s="336"/>
      <c r="AA55" s="336"/>
      <c r="AB55" s="336"/>
      <c r="AC55" s="337"/>
      <c r="AD55" s="3">
        <f>COUNTIF(O17:O52,0)</f>
        <v>33</v>
      </c>
      <c r="AE55" s="3">
        <f>COUNTIF(R17:R52,0)</f>
        <v>33</v>
      </c>
      <c r="AF55" s="3">
        <f>COUNTIF(U17:U52,0)</f>
        <v>33</v>
      </c>
      <c r="AG55" s="3">
        <f>COUNTIF(X17:X52,0)</f>
        <v>33</v>
      </c>
      <c r="AH55" s="3">
        <f>COUNTIF(AA17:AA52,0)</f>
        <v>33</v>
      </c>
      <c r="AI55" s="3">
        <f>COUNTIF(AV17:AV52,"")</f>
        <v>33</v>
      </c>
      <c r="AJ55" s="106" t="e">
        <f>AJ53/K65*K67</f>
        <v>#DIV/0!</v>
      </c>
      <c r="AK55" s="106" t="e">
        <f>AK53/L65*L67</f>
        <v>#DIV/0!</v>
      </c>
      <c r="AL55" s="106">
        <f>AL53/M65*M67</f>
        <v>0.73333333333333339</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3</v>
      </c>
      <c r="BA55" s="3"/>
      <c r="BB55" s="5"/>
      <c r="BC55" s="5"/>
      <c r="BD55" s="5"/>
      <c r="BE55" s="5"/>
      <c r="BF55" s="3"/>
      <c r="BG55" s="3"/>
    </row>
    <row r="56" spans="1:59" ht="20.25" thickBot="1" x14ac:dyDescent="0.45">
      <c r="B56" s="46" t="s">
        <v>7</v>
      </c>
      <c r="C56" s="174"/>
      <c r="D56" s="174"/>
      <c r="E56" s="174"/>
      <c r="F56" s="174"/>
      <c r="G56" s="174"/>
      <c r="H56" s="174"/>
      <c r="I56" s="174"/>
      <c r="J56" s="329">
        <f>J1</f>
        <v>5</v>
      </c>
      <c r="K56" s="330"/>
      <c r="L56" s="331"/>
      <c r="M56" s="32"/>
      <c r="O56" s="137"/>
      <c r="P56" s="137"/>
      <c r="Q56" s="137"/>
      <c r="R56" s="137"/>
      <c r="S56" s="137"/>
      <c r="T56" s="137"/>
      <c r="U56" s="137"/>
      <c r="V56" s="137"/>
      <c r="W56" s="137"/>
      <c r="X56" s="137"/>
      <c r="Y56" s="137"/>
      <c r="Z56" s="137"/>
      <c r="AA56" s="137"/>
      <c r="AB56" s="137"/>
      <c r="AC56" s="137"/>
      <c r="AD56" s="3">
        <f t="shared" ref="AD56:AI56" si="45">36-AD55</f>
        <v>3</v>
      </c>
      <c r="AE56" s="3">
        <f t="shared" si="45"/>
        <v>3</v>
      </c>
      <c r="AF56" s="3">
        <f t="shared" si="45"/>
        <v>3</v>
      </c>
      <c r="AG56" s="3">
        <f t="shared" si="45"/>
        <v>3</v>
      </c>
      <c r="AH56" s="3">
        <f t="shared" si="45"/>
        <v>3</v>
      </c>
      <c r="AI56" s="3">
        <f t="shared" si="45"/>
        <v>3</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0">
        <f>J2</f>
        <v>0</v>
      </c>
      <c r="K57" s="321"/>
      <c r="L57" s="322"/>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f>AD54</f>
        <v>0.66666666666666663</v>
      </c>
      <c r="K60" s="106">
        <f>AE54</f>
        <v>1</v>
      </c>
      <c r="L60" s="106">
        <f>AF54</f>
        <v>0.66666666666666663</v>
      </c>
      <c r="M60" s="106">
        <f>AG54</f>
        <v>0.66666666666666663</v>
      </c>
      <c r="N60" s="106">
        <f>AH54</f>
        <v>0.66666666666666663</v>
      </c>
      <c r="O60" s="106">
        <f>$AV$53</f>
        <v>0.73333333333333339</v>
      </c>
      <c r="P60" s="140" t="str">
        <f>$AW$53</f>
        <v/>
      </c>
      <c r="Q60" s="106">
        <f>$AZ$53</f>
        <v>1</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3</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f>K65/$B$53</f>
        <v>0</v>
      </c>
      <c r="L67" s="106">
        <f>L65/$B$53</f>
        <v>0</v>
      </c>
      <c r="M67" s="106">
        <f>M65/$B$53</f>
        <v>1</v>
      </c>
      <c r="N67" s="106">
        <f>N65/$B$53</f>
        <v>0</v>
      </c>
      <c r="O67" s="106">
        <f>O65/$B$53</f>
        <v>0</v>
      </c>
      <c r="P67" s="106"/>
      <c r="Q67" s="106"/>
    </row>
    <row r="68" spans="10:17" x14ac:dyDescent="0.2">
      <c r="J68" s="142" t="s">
        <v>85</v>
      </c>
      <c r="K68" s="106" t="e">
        <f>AJ55</f>
        <v>#DIV/0!</v>
      </c>
      <c r="L68" s="106" t="e">
        <f>AK55</f>
        <v>#DIV/0!</v>
      </c>
      <c r="M68" s="106">
        <f>AL55</f>
        <v>0.73333333333333339</v>
      </c>
      <c r="N68" s="106" t="e">
        <f>AM55</f>
        <v>#DIV/0!</v>
      </c>
      <c r="O68" s="106" t="e">
        <f>AN55</f>
        <v>#DIV/0!</v>
      </c>
      <c r="P68" s="106"/>
      <c r="Q68" s="106"/>
    </row>
    <row r="69" spans="10:17" x14ac:dyDescent="0.2">
      <c r="J69" s="142" t="s">
        <v>86</v>
      </c>
      <c r="K69" s="106">
        <f>K66/$B$53</f>
        <v>0</v>
      </c>
      <c r="L69" s="106">
        <f>L66/$B$53</f>
        <v>0</v>
      </c>
      <c r="M69" s="106">
        <f>M66/$B$53</f>
        <v>0</v>
      </c>
      <c r="N69" s="106">
        <f>N66/$B$53</f>
        <v>0</v>
      </c>
      <c r="O69" s="106">
        <f>O66/$B$53</f>
        <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f>IF($E$6="ja",K67,IF($E6="nee",K69))</f>
        <v>0</v>
      </c>
      <c r="L71" s="106">
        <f>IF($E$6="ja",L67,IF($E6="nee",L69))</f>
        <v>0</v>
      </c>
      <c r="M71" s="106">
        <f>IF($E$6="ja",M67,IF($E6="nee",M69))</f>
        <v>1</v>
      </c>
      <c r="N71" s="106">
        <f>IF($E$6="ja",N67,IF($E6="nee",N69))</f>
        <v>0</v>
      </c>
      <c r="O71" s="106">
        <f>IF($E$6="ja",O67,IF($E6="nee",O69))</f>
        <v>0</v>
      </c>
      <c r="P71" s="106"/>
      <c r="Q71" s="106"/>
    </row>
    <row r="72" spans="10:17" x14ac:dyDescent="0.2">
      <c r="J72" s="142" t="s">
        <v>89</v>
      </c>
      <c r="K72" s="106" t="e">
        <f>IF($E$6="ja",K68,IF($E$6="nee",K70))</f>
        <v>#DIV/0!</v>
      </c>
      <c r="L72" s="106" t="e">
        <f>IF($E$6="ja",L68,IF($E$6="nee",L70))</f>
        <v>#DIV/0!</v>
      </c>
      <c r="M72" s="106">
        <f>IF($E$6="ja",M68,IF($E$6="nee",M70))</f>
        <v>0.73333333333333339</v>
      </c>
      <c r="N72" s="106" t="e">
        <f>IF($E$6="ja",N68,IF($E$6="nee",N70))</f>
        <v>#DIV/0!</v>
      </c>
      <c r="O72" s="106" t="e">
        <f>IF($E$6="ja",O68,IF($E$6="nee",O70))</f>
        <v>#DIV/0!</v>
      </c>
      <c r="P72" s="106"/>
      <c r="Q72" s="106"/>
    </row>
  </sheetData>
  <sheetProtection algorithmName="SHA-512" hashValue="7MVzetvAzI4mc6dxTdpKwllGg5N4dB9l2xbIWeOXi0DpBGfkEAtJwcLCtwe8SwSjQzgz7TgR3c94hNfgorp+Tw==" saltValue="e8zxRmaUGBhY5qenxYbIew==" spinCount="100000" sheet="1" objects="1" scenarios="1"/>
  <mergeCells count="20">
    <mergeCell ref="R53:T53"/>
    <mergeCell ref="U53:W53"/>
    <mergeCell ref="X53:Z53"/>
    <mergeCell ref="AA53:AC53"/>
    <mergeCell ref="J57:L57"/>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s>
  <phoneticPr fontId="3" type="noConversion"/>
  <conditionalFormatting sqref="AZ17:AZ52">
    <cfRule type="cellIs" dxfId="716" priority="5" stopIfTrue="1" operator="equal">
      <formula>"x"</formula>
    </cfRule>
    <cfRule type="expression" dxfId="715" priority="6" stopIfTrue="1">
      <formula>$B17&gt;0</formula>
    </cfRule>
    <cfRule type="cellIs" dxfId="714" priority="7" stopIfTrue="1" operator="equal">
      <formula>""</formula>
    </cfRule>
  </conditionalFormatting>
  <conditionalFormatting sqref="BB17:BB52">
    <cfRule type="expression" dxfId="713" priority="8" stopIfTrue="1">
      <formula>$BC17=""</formula>
    </cfRule>
    <cfRule type="expression" dxfId="712" priority="9" stopIfTrue="1">
      <formula>$BC17&lt;$BA17</formula>
    </cfRule>
    <cfRule type="expression" dxfId="711" priority="10" stopIfTrue="1">
      <formula>$BC17&gt;=$BA17</formula>
    </cfRule>
  </conditionalFormatting>
  <conditionalFormatting sqref="BE17:BE52">
    <cfRule type="expression" dxfId="710" priority="11" stopIfTrue="1">
      <formula>$BF17=""</formula>
    </cfRule>
    <cfRule type="expression" dxfId="709" priority="12" stopIfTrue="1">
      <formula>$BF17&lt;$BC17</formula>
    </cfRule>
    <cfRule type="expression" dxfId="708" priority="13" stopIfTrue="1">
      <formula>$BF17&gt;=$BC17</formula>
    </cfRule>
  </conditionalFormatting>
  <conditionalFormatting sqref="E17:E52">
    <cfRule type="expression" dxfId="707" priority="17" stopIfTrue="1">
      <formula>$E17=""</formula>
    </cfRule>
    <cfRule type="expression" dxfId="706" priority="18" stopIfTrue="1">
      <formula>$E17&gt;$C17</formula>
    </cfRule>
    <cfRule type="expression" dxfId="705" priority="19" stopIfTrue="1">
      <formula>$E17&lt;$C17</formula>
    </cfRule>
  </conditionalFormatting>
  <conditionalFormatting sqref="B17:B52">
    <cfRule type="cellIs" dxfId="704" priority="20" stopIfTrue="1" operator="equal">
      <formula>""</formula>
    </cfRule>
    <cfRule type="cellIs" dxfId="703" priority="21" stopIfTrue="1" operator="equal">
      <formula>0</formula>
    </cfRule>
    <cfRule type="expression" dxfId="702" priority="22" stopIfTrue="1">
      <formula>$AV17&lt;0.8</formula>
    </cfRule>
  </conditionalFormatting>
  <conditionalFormatting sqref="E6:E7 J8:K8">
    <cfRule type="cellIs" dxfId="701" priority="23" stopIfTrue="1" operator="equal">
      <formula>"ja"</formula>
    </cfRule>
    <cfRule type="cellIs" dxfId="700" priority="24" stopIfTrue="1" operator="equal">
      <formula>"nee"</formula>
    </cfRule>
  </conditionalFormatting>
  <conditionalFormatting sqref="BA17:BA52 BG53 BA53:BE53">
    <cfRule type="expression" dxfId="699" priority="25" stopIfTrue="1">
      <formula>$U$2="ja"</formula>
    </cfRule>
    <cfRule type="expression" dxfId="698" priority="26" stopIfTrue="1">
      <formula>$X$2="ja"</formula>
    </cfRule>
  </conditionalFormatting>
  <conditionalFormatting sqref="BE10:BE12 BB10:BB12">
    <cfRule type="expression" dxfId="697" priority="27" stopIfTrue="1">
      <formula>$X$2="ja"</formula>
    </cfRule>
  </conditionalFormatting>
  <conditionalFormatting sqref="BC17:BD52 BF17:BG52">
    <cfRule type="expression" dxfId="696" priority="28" stopIfTrue="1">
      <formula>$X$2="ja"</formula>
    </cfRule>
  </conditionalFormatting>
  <conditionalFormatting sqref="AW53">
    <cfRule type="cellIs" dxfId="695" priority="29" stopIfTrue="1" operator="equal">
      <formula>""</formula>
    </cfRule>
    <cfRule type="cellIs" dxfId="694" priority="30" stopIfTrue="1" operator="greaterThan">
      <formula>0.03</formula>
    </cfRule>
  </conditionalFormatting>
  <conditionalFormatting sqref="AW17:AW52">
    <cfRule type="cellIs" dxfId="693" priority="31" stopIfTrue="1" operator="equal">
      <formula>1</formula>
    </cfRule>
    <cfRule type="cellIs" dxfId="692" priority="32" stopIfTrue="1" operator="equal">
      <formula>""</formula>
    </cfRule>
  </conditionalFormatting>
  <conditionalFormatting sqref="AY17:AY52">
    <cfRule type="cellIs" dxfId="691" priority="33" stopIfTrue="1" operator="equal">
      <formula>1</formula>
    </cfRule>
    <cfRule type="cellIs" dxfId="690" priority="34" stopIfTrue="1" operator="lessThan">
      <formula>1</formula>
    </cfRule>
    <cfRule type="cellIs" dxfId="689" priority="35" stopIfTrue="1" operator="equal">
      <formula>""</formula>
    </cfRule>
  </conditionalFormatting>
  <conditionalFormatting sqref="AV10:AV12">
    <cfRule type="cellIs" dxfId="688" priority="36" stopIfTrue="1" operator="equal">
      <formula>1</formula>
    </cfRule>
    <cfRule type="cellIs" dxfId="687" priority="37" stopIfTrue="1" operator="lessThan">
      <formula>1</formula>
    </cfRule>
  </conditionalFormatting>
  <conditionalFormatting sqref="N10:N12">
    <cfRule type="expression" dxfId="686" priority="38" stopIfTrue="1">
      <formula>$U$2="ja"</formula>
    </cfRule>
    <cfRule type="expression" dxfId="685" priority="39" stopIfTrue="1">
      <formula>$X$2="ja"</formula>
    </cfRule>
  </conditionalFormatting>
  <conditionalFormatting sqref="O10:Q12">
    <cfRule type="expression" dxfId="684" priority="40" stopIfTrue="1">
      <formula>$U$1="ja"</formula>
    </cfRule>
    <cfRule type="expression" dxfId="683" priority="41" stopIfTrue="1">
      <formula>$X$1="ja"</formula>
    </cfRule>
    <cfRule type="expression" dxfId="682" priority="42" stopIfTrue="1">
      <formula>$AD$1="ja"</formula>
    </cfRule>
  </conditionalFormatting>
  <conditionalFormatting sqref="R10:T12">
    <cfRule type="expression" dxfId="681" priority="43" stopIfTrue="1">
      <formula>$AA$1="ja"</formula>
    </cfRule>
    <cfRule type="expression" dxfId="680" priority="44" stopIfTrue="1">
      <formula>$AD$1="ja"</formula>
    </cfRule>
  </conditionalFormatting>
  <conditionalFormatting sqref="U11:U12">
    <cfRule type="expression" dxfId="679" priority="45" stopIfTrue="1">
      <formula>$AD$1="ja"</formula>
    </cfRule>
  </conditionalFormatting>
  <conditionalFormatting sqref="X10:X12 AA10:AC12">
    <cfRule type="expression" dxfId="678" priority="46" stopIfTrue="1">
      <formula>$X$1="ja"</formula>
    </cfRule>
    <cfRule type="expression" dxfId="677" priority="47" stopIfTrue="1">
      <formula>$AA$1="ja"</formula>
    </cfRule>
    <cfRule type="expression" dxfId="676" priority="48" stopIfTrue="1">
      <formula>$AD$1="ja"</formula>
    </cfRule>
  </conditionalFormatting>
  <conditionalFormatting sqref="AU17:AU52">
    <cfRule type="cellIs" dxfId="675" priority="49" stopIfTrue="1" operator="notEqual">
      <formula>""</formula>
    </cfRule>
  </conditionalFormatting>
  <conditionalFormatting sqref="M17:M52">
    <cfRule type="cellIs" dxfId="674" priority="50" stopIfTrue="1" operator="equal">
      <formula>"x"</formula>
    </cfRule>
    <cfRule type="cellIs" dxfId="673" priority="51" stopIfTrue="1" operator="equal">
      <formula>""</formula>
    </cfRule>
  </conditionalFormatting>
  <conditionalFormatting sqref="H17:I52">
    <cfRule type="cellIs" dxfId="672" priority="52" stopIfTrue="1" operator="equal">
      <formula>""</formula>
    </cfRule>
  </conditionalFormatting>
  <conditionalFormatting sqref="L17:L52">
    <cfRule type="cellIs" dxfId="671" priority="53" stopIfTrue="1" operator="equal">
      <formula>"x"</formula>
    </cfRule>
    <cfRule type="cellIs" dxfId="670" priority="54" stopIfTrue="1" operator="equal">
      <formula>""</formula>
    </cfRule>
  </conditionalFormatting>
  <conditionalFormatting sqref="N17:N52">
    <cfRule type="cellIs" dxfId="669" priority="55" stopIfTrue="1" operator="equal">
      <formula>""</formula>
    </cfRule>
    <cfRule type="cellIs" dxfId="668" priority="56" stopIfTrue="1" operator="greaterThan">
      <formula>""</formula>
    </cfRule>
  </conditionalFormatting>
  <conditionalFormatting sqref="J17:K52">
    <cfRule type="cellIs" dxfId="667" priority="57" stopIfTrue="1" operator="equal">
      <formula>""</formula>
    </cfRule>
  </conditionalFormatting>
  <conditionalFormatting sqref="F17:G52">
    <cfRule type="expression" dxfId="666" priority="58" stopIfTrue="1">
      <formula>""</formula>
    </cfRule>
  </conditionalFormatting>
  <conditionalFormatting sqref="S17:S52 V17:V52 Y17:Y52 P17:P52 AB17:AB52">
    <cfRule type="cellIs" dxfId="665" priority="59" stopIfTrue="1" operator="equal">
      <formula>0</formula>
    </cfRule>
    <cfRule type="cellIs" dxfId="664" priority="60" stopIfTrue="1" operator="greaterThan">
      <formula>0</formula>
    </cfRule>
  </conditionalFormatting>
  <conditionalFormatting sqref="Q17:Q52 T17:T52 W17:W52 Z17:Z52 AC17:AC52">
    <cfRule type="cellIs" dxfId="663" priority="61" stopIfTrue="1" operator="equal">
      <formula>""</formula>
    </cfRule>
    <cfRule type="cellIs" dxfId="662" priority="62" stopIfTrue="1" operator="greaterThanOrEqual">
      <formula>1.3</formula>
    </cfRule>
    <cfRule type="cellIs" dxfId="661" priority="63" stopIfTrue="1" operator="lessThan">
      <formula>0.8</formula>
    </cfRule>
  </conditionalFormatting>
  <conditionalFormatting sqref="AV17:AV52">
    <cfRule type="cellIs" dxfId="660" priority="64" stopIfTrue="1" operator="equal">
      <formula>1</formula>
    </cfRule>
    <cfRule type="cellIs" dxfId="659" priority="65" stopIfTrue="1" operator="lessThan">
      <formula>0.8</formula>
    </cfRule>
    <cfRule type="cellIs" dxfId="658" priority="66" stopIfTrue="1" operator="between">
      <formula>0.8</formula>
      <formula>1</formula>
    </cfRule>
  </conditionalFormatting>
  <conditionalFormatting sqref="D17:D52">
    <cfRule type="cellIs" dxfId="657" priority="67" stopIfTrue="1" operator="equal">
      <formula>""</formula>
    </cfRule>
    <cfRule type="cellIs" dxfId="656" priority="68" stopIfTrue="1" operator="greaterThan">
      <formula>""</formula>
    </cfRule>
  </conditionalFormatting>
  <conditionalFormatting sqref="O17:O52">
    <cfRule type="cellIs" dxfId="655" priority="69" stopIfTrue="1" operator="equal">
      <formula>0</formula>
    </cfRule>
    <cfRule type="expression" dxfId="654" priority="70" stopIfTrue="1">
      <formula>$Q17&gt;=0.8</formula>
    </cfRule>
    <cfRule type="expression" dxfId="653" priority="71" stopIfTrue="1">
      <formula>$Q17&lt;0.8</formula>
    </cfRule>
  </conditionalFormatting>
  <conditionalFormatting sqref="R17:R52">
    <cfRule type="cellIs" dxfId="652" priority="72" stopIfTrue="1" operator="equal">
      <formula>0</formula>
    </cfRule>
    <cfRule type="expression" dxfId="651" priority="73" stopIfTrue="1">
      <formula>$T17&gt;=0.8</formula>
    </cfRule>
    <cfRule type="expression" dxfId="650" priority="74" stopIfTrue="1">
      <formula>$T17&lt;0.8</formula>
    </cfRule>
  </conditionalFormatting>
  <conditionalFormatting sqref="U17:U52">
    <cfRule type="cellIs" dxfId="649" priority="75" stopIfTrue="1" operator="equal">
      <formula>0</formula>
    </cfRule>
    <cfRule type="expression" dxfId="648" priority="76" stopIfTrue="1">
      <formula>$W17&gt;=0.8</formula>
    </cfRule>
    <cfRule type="expression" dxfId="647" priority="77" stopIfTrue="1">
      <formula>$W17&lt;0.8</formula>
    </cfRule>
  </conditionalFormatting>
  <conditionalFormatting sqref="X17:X52">
    <cfRule type="cellIs" dxfId="646" priority="78" stopIfTrue="1" operator="equal">
      <formula>0</formula>
    </cfRule>
    <cfRule type="expression" dxfId="645" priority="79" stopIfTrue="1">
      <formula>$Z17&gt;=0.8</formula>
    </cfRule>
    <cfRule type="expression" dxfId="644" priority="80" stopIfTrue="1">
      <formula>$Z17&lt;0.8</formula>
    </cfRule>
  </conditionalFormatting>
  <conditionalFormatting sqref="AA17:AA52">
    <cfRule type="cellIs" dxfId="643" priority="81" stopIfTrue="1" operator="equal">
      <formula>0</formula>
    </cfRule>
    <cfRule type="expression" dxfId="642" priority="82" stopIfTrue="1">
      <formula>$AC17&gt;=0.8</formula>
    </cfRule>
    <cfRule type="expression" dxfId="641" priority="83" stopIfTrue="1">
      <formula>$AC17&lt;0.8</formula>
    </cfRule>
  </conditionalFormatting>
  <conditionalFormatting sqref="Y10:Z12">
    <cfRule type="expression" dxfId="640" priority="163" stopIfTrue="1">
      <formula>$AA$1="ja"</formula>
    </cfRule>
    <cfRule type="expression" dxfId="639" priority="164" stopIfTrue="1">
      <formula>$AD$1="ja"</formula>
    </cfRule>
    <cfRule type="expression" dxfId="638" priority="165" stopIfTrue="1">
      <formula>$X$1="ja"</formula>
    </cfRule>
  </conditionalFormatting>
  <conditionalFormatting sqref="U10 V10:W12">
    <cfRule type="expression" dxfId="637" priority="166" stopIfTrue="1">
      <formula>$AD$1="ja"</formula>
    </cfRule>
  </conditionalFormatting>
  <conditionalFormatting sqref="C17:C52">
    <cfRule type="expression" dxfId="636" priority="2" stopIfTrue="1">
      <formula>$C17=""</formula>
    </cfRule>
    <cfRule type="expression" dxfId="635" priority="3" stopIfTrue="1">
      <formula>$C17&gt;$E17</formula>
    </cfRule>
    <cfRule type="expression" dxfId="634" priority="4" stopIfTrue="1">
      <formula>$C17&lt;$E17</formula>
    </cfRule>
  </conditionalFormatting>
  <conditionalFormatting sqref="AT17:AT52">
    <cfRule type="cellIs" dxfId="633"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V39"/>
  <sheetViews>
    <sheetView showGridLines="0" showRowColHeaders="0" zoomScale="75" zoomScaleNormal="75" workbookViewId="0">
      <selection activeCell="F4" sqref="F4"/>
    </sheetView>
  </sheetViews>
  <sheetFormatPr defaultRowHeight="12.75" x14ac:dyDescent="0.2"/>
  <cols>
    <col min="1" max="1" width="4.140625" bestFit="1" customWidth="1"/>
    <col min="2" max="2" width="20.7109375" style="33" customWidth="1"/>
    <col min="3" max="3" width="4" customWidth="1"/>
    <col min="5" max="5" width="18" customWidth="1"/>
    <col min="6" max="10" width="11.140625" bestFit="1" customWidth="1"/>
    <col min="11" max="11" width="9.28515625" bestFit="1" customWidth="1"/>
    <col min="12" max="12" width="9.85546875" bestFit="1" customWidth="1"/>
    <col min="19" max="19" width="18.140625" style="1" bestFit="1" customWidth="1"/>
    <col min="20" max="20" width="12.85546875" style="1" customWidth="1"/>
    <col min="21" max="21" width="18.42578125" style="1" bestFit="1" customWidth="1"/>
    <col min="22" max="22" width="15.5703125" style="1" bestFit="1" customWidth="1"/>
  </cols>
  <sheetData>
    <row r="1" spans="1:22" ht="13.5" thickBot="1" x14ac:dyDescent="0.25"/>
    <row r="2" spans="1:22" ht="21.75" thickBot="1" x14ac:dyDescent="0.45">
      <c r="A2" s="41"/>
      <c r="B2" s="42" t="str">
        <f>BEGINBLAD!A5</f>
        <v>namen leerlingen:</v>
      </c>
      <c r="D2" s="354" t="s">
        <v>7</v>
      </c>
      <c r="E2" s="361"/>
      <c r="F2" s="311">
        <v>5</v>
      </c>
      <c r="G2" s="355" t="str">
        <f>VLOOKUP($F$4,BEGINBLAD!A1:C41,2)</f>
        <v>leerling 1</v>
      </c>
      <c r="H2" s="355"/>
      <c r="I2" s="355"/>
      <c r="J2" s="355"/>
      <c r="K2" s="355"/>
      <c r="L2" s="355"/>
      <c r="M2" s="355"/>
      <c r="N2" s="356"/>
      <c r="S2" s="220" t="s">
        <v>106</v>
      </c>
      <c r="T2" s="232" t="s">
        <v>55</v>
      </c>
      <c r="U2" s="232" t="s">
        <v>107</v>
      </c>
      <c r="V2" s="233" t="s">
        <v>108</v>
      </c>
    </row>
    <row r="3" spans="1:22" ht="13.5" thickBot="1" x14ac:dyDescent="0.25">
      <c r="A3" s="37">
        <f>BEGINBLAD!A6</f>
        <v>1</v>
      </c>
      <c r="B3" s="38" t="str">
        <f>BEGINBLAD!B6</f>
        <v>leerling 1</v>
      </c>
    </row>
    <row r="4" spans="1:22" ht="21.75" thickBot="1" x14ac:dyDescent="0.45">
      <c r="A4" s="37">
        <f>BEGINBLAD!A7</f>
        <v>2</v>
      </c>
      <c r="B4" s="38" t="str">
        <f>BEGINBLAD!B7</f>
        <v>leerling 2</v>
      </c>
      <c r="D4" s="352" t="s">
        <v>24</v>
      </c>
      <c r="E4" s="353"/>
      <c r="F4" s="217">
        <v>1</v>
      </c>
      <c r="G4" s="357" t="s">
        <v>145</v>
      </c>
      <c r="H4" s="358"/>
      <c r="I4" s="359">
        <f>VLOOKUP($F$4,BEGINBLAD!A6:C41,3)</f>
        <v>37358</v>
      </c>
      <c r="J4" s="359"/>
      <c r="K4" s="359"/>
      <c r="L4" s="359"/>
      <c r="M4" s="359"/>
      <c r="N4" s="360"/>
      <c r="S4" s="220" t="s">
        <v>109</v>
      </c>
      <c r="T4" s="224" t="str">
        <f>VLOOKUP($F$4,'RIO - E5'!$A$17:$AB$52,10)</f>
        <v>C</v>
      </c>
      <c r="U4" s="231">
        <f>VLOOKUP($F$4,'RIO - E5'!$A$17:$AB$52,11)</f>
        <v>2.4</v>
      </c>
      <c r="V4" s="230">
        <v>1</v>
      </c>
    </row>
    <row r="5" spans="1:22" x14ac:dyDescent="0.2">
      <c r="A5" s="37">
        <f>BEGINBLAD!A8</f>
        <v>3</v>
      </c>
      <c r="B5" s="38" t="str">
        <f>BEGINBLAD!B8</f>
        <v>leerling 3</v>
      </c>
    </row>
    <row r="6" spans="1:22" ht="15" x14ac:dyDescent="0.3">
      <c r="A6" s="37">
        <f>BEGINBLAD!A9</f>
        <v>4</v>
      </c>
      <c r="B6" s="38">
        <f>BEGINBLAD!B9</f>
        <v>0</v>
      </c>
      <c r="S6" s="239" t="s">
        <v>8</v>
      </c>
      <c r="T6" s="246" t="str">
        <f>VLOOKUP($F$4,'RIO - E5'!$A$17:$AB$52,15)</f>
        <v>A</v>
      </c>
      <c r="U6" s="240">
        <f>VLOOKUP($F$4,'RIO - E5'!$A$17:$AB$52,16)</f>
        <v>4.0999999999999996</v>
      </c>
      <c r="V6" s="241">
        <f>VLOOKUP($F$4,'RIO - E5'!$A$17:$AB$52,17)</f>
        <v>1.7083333333333333</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t="str">
        <f>VLOOKUP($F$4,'RIO - E5'!$A$17:$AB$52,18)</f>
        <v>C</v>
      </c>
      <c r="U8" s="227">
        <f>VLOOKUP($F$4,'RIO - E5'!$A$17:$AB$52,19)</f>
        <v>2.7</v>
      </c>
      <c r="V8" s="225">
        <f>VLOOKUP($F$4,'RIO - E5'!$A$17:$AB$52,20)</f>
        <v>1.1250000000000002</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f>VLOOKUP($F$4,'RIO - E5'!$A$17:$AB$52,17)</f>
        <v>1.7083333333333333</v>
      </c>
      <c r="G10" s="219">
        <f>VLOOKUP($F$4,'RIO - E5'!$A$17:$AB$52,20)</f>
        <v>1.1250000000000002</v>
      </c>
      <c r="H10" s="219">
        <f>VLOOKUP($F$4,'RIO - E5'!$A$17:$AB$52,23)</f>
        <v>1</v>
      </c>
      <c r="I10" s="219">
        <f>VLOOKUP($F$4,'RIO - E5'!$A$17:$AB$52,26)</f>
        <v>1.875</v>
      </c>
      <c r="J10" s="219">
        <f>VLOOKUP($F$4,'RIO - E5'!$A$17:$AC$52,29)</f>
        <v>0.33333333333333337</v>
      </c>
      <c r="K10" s="219" t="str">
        <f>VLOOKUP($F$4,'RIO - E5'!$A$17:$AB$52,10)</f>
        <v>C</v>
      </c>
      <c r="L10" s="32"/>
      <c r="M10" s="32"/>
      <c r="S10" s="221" t="s">
        <v>10</v>
      </c>
      <c r="T10" s="247" t="str">
        <f>VLOOKUP($F$4,'RIO - E5'!$A$17:$AB$52,21)</f>
        <v>C</v>
      </c>
      <c r="U10" s="227">
        <f>VLOOKUP($F$4,'RIO - E5'!$A$17:$AB$52,22)</f>
        <v>2.4</v>
      </c>
      <c r="V10" s="225">
        <f>VLOOKUP($F$4,'RIO - E5'!$A$17:$AB$52,23)</f>
        <v>1</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f>F10*L12</f>
        <v>1.0249999999999999</v>
      </c>
      <c r="G12" s="218">
        <f>G10*L12</f>
        <v>0.67500000000000016</v>
      </c>
      <c r="H12" s="218">
        <f>H10*L12</f>
        <v>0.6</v>
      </c>
      <c r="I12" s="218">
        <f>I10*L12</f>
        <v>1.125</v>
      </c>
      <c r="J12" s="218">
        <f>J10*L12</f>
        <v>0.2</v>
      </c>
      <c r="K12" s="218">
        <f>0.8*L12</f>
        <v>0.48</v>
      </c>
      <c r="L12" s="218">
        <f>IF(K10="A",1,IF(K10="B",0.8,IF(K10="C",0.6,IF(K10="D",0.4,IF(K10="E",0.2)))))</f>
        <v>0.6</v>
      </c>
      <c r="S12" s="221" t="s">
        <v>11</v>
      </c>
      <c r="T12" s="247" t="str">
        <f>VLOOKUP($F$4,'RIO - E5'!$A$17:$AB$52,24)</f>
        <v>A</v>
      </c>
      <c r="U12" s="227">
        <f>VLOOKUP($F$4,'RIO - E5'!$A$17:$AB$52,25)</f>
        <v>4.5</v>
      </c>
      <c r="V12" s="225">
        <f>VLOOKUP($F$4,'RIO - E5'!$A$17:$AB$52,26)</f>
        <v>1.875</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t="str">
        <f>VLOOKUP($F$4,'RIO - E5'!$A$17:$AC$52,27)</f>
        <v>E</v>
      </c>
      <c r="U14" s="229">
        <f>VLOOKUP($F$4,'RIO - E5'!$A$17:$AC$52,28)</f>
        <v>0.8</v>
      </c>
      <c r="V14" s="226">
        <f>VLOOKUP($F$4,'RIO - E5'!$A$17:$AC$52,29)</f>
        <v>0.33333333333333337</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C</v>
      </c>
      <c r="U16" s="234">
        <f>AVERAGE(U6:U14)</f>
        <v>2.9</v>
      </c>
      <c r="V16" s="235">
        <f>VLOOKUP($F$4,'RIO - E5'!$A$17:$AC$52,14)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f>(U4/8)*10</f>
        <v>3</v>
      </c>
    </row>
    <row r="20" spans="1:21" x14ac:dyDescent="0.2">
      <c r="A20" s="37">
        <f>BEGINBLAD!A23</f>
        <v>18</v>
      </c>
      <c r="B20" s="38">
        <f>BEGINBLAD!B23</f>
        <v>0</v>
      </c>
      <c r="U20" s="5">
        <f>U4*0.8</f>
        <v>1.92</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eeLwXGBdym9i+gh2cv9FhFzOgNUEP9xr+ty1rqvr5UYCsnIXMRa/NKr5HjKrfNWKxhIcdtNHKdXK+YjyjlQ+vA==" saltValue="anRVYiwNksbqzxw1JomKwg==" spinCount="100000" sheet="1" objects="1" scenarios="1"/>
  <mergeCells count="5">
    <mergeCell ref="D4:E4"/>
    <mergeCell ref="D2:E2"/>
    <mergeCell ref="G2:N2"/>
    <mergeCell ref="G4:H4"/>
    <mergeCell ref="I4:N4"/>
  </mergeCells>
  <phoneticPr fontId="3" type="noConversion"/>
  <conditionalFormatting sqref="V6:V14">
    <cfRule type="cellIs" dxfId="632" priority="1" stopIfTrue="1" operator="between">
      <formula>0.001</formula>
      <formula>0.8</formula>
    </cfRule>
    <cfRule type="cellIs" dxfId="631" priority="2" stopIfTrue="1" operator="greaterThanOrEqual">
      <formula>1.3</formula>
    </cfRule>
    <cfRule type="cellIs" dxfId="630" priority="3" stopIfTrue="1" operator="greaterThanOrEqual">
      <formula>1</formula>
    </cfRule>
  </conditionalFormatting>
  <conditionalFormatting sqref="V16">
    <cfRule type="cellIs" dxfId="629" priority="4" stopIfTrue="1" operator="equal">
      <formula>0</formula>
    </cfRule>
  </conditionalFormatting>
  <conditionalFormatting sqref="T6">
    <cfRule type="expression" dxfId="628" priority="5" stopIfTrue="1">
      <formula>$V$6&gt;=1.3</formula>
    </cfRule>
    <cfRule type="expression" dxfId="627" priority="6" stopIfTrue="1">
      <formula>$V$6&lt;0.8</formula>
    </cfRule>
    <cfRule type="expression" dxfId="626" priority="7" stopIfTrue="1">
      <formula>$V$6&lt;1</formula>
    </cfRule>
  </conditionalFormatting>
  <conditionalFormatting sqref="T8">
    <cfRule type="expression" dxfId="625" priority="8" stopIfTrue="1">
      <formula>$V$8&gt;=1.3</formula>
    </cfRule>
    <cfRule type="expression" dxfId="624" priority="9" stopIfTrue="1">
      <formula>$V$8&lt;0.8</formula>
    </cfRule>
    <cfRule type="expression" dxfId="623" priority="10" stopIfTrue="1">
      <formula>$V$8&lt;1</formula>
    </cfRule>
  </conditionalFormatting>
  <conditionalFormatting sqref="T10">
    <cfRule type="expression" dxfId="622" priority="11" stopIfTrue="1">
      <formula>$V$10&gt;=1.3</formula>
    </cfRule>
    <cfRule type="expression" dxfId="621" priority="12" stopIfTrue="1">
      <formula>$V$10&lt;0.8</formula>
    </cfRule>
    <cfRule type="expression" dxfId="620" priority="13" stopIfTrue="1">
      <formula>$V$10&lt;1</formula>
    </cfRule>
  </conditionalFormatting>
  <conditionalFormatting sqref="T12">
    <cfRule type="expression" dxfId="619" priority="14" stopIfTrue="1">
      <formula>$V$12&gt;=1.3</formula>
    </cfRule>
    <cfRule type="expression" dxfId="618" priority="15" stopIfTrue="1">
      <formula>$V$12&lt;0.8</formula>
    </cfRule>
    <cfRule type="expression" dxfId="617" priority="16" stopIfTrue="1">
      <formula>$V$12&lt;1</formula>
    </cfRule>
  </conditionalFormatting>
  <conditionalFormatting sqref="T14">
    <cfRule type="expression" dxfId="616" priority="17" stopIfTrue="1">
      <formula>$V$14&gt;=1.3</formula>
    </cfRule>
    <cfRule type="expression" dxfId="615" priority="18" stopIfTrue="1">
      <formula>$V$14&lt;0.8</formula>
    </cfRule>
    <cfRule type="expression" dxfId="614" priority="19" stopIfTrue="1">
      <formula>$V$14&lt;1</formula>
    </cfRule>
  </conditionalFormatting>
  <conditionalFormatting sqref="T16">
    <cfRule type="expression" dxfId="613" priority="20" stopIfTrue="1">
      <formula>$U$16&gt;=$U$19</formula>
    </cfRule>
    <cfRule type="expression" dxfId="612" priority="21" stopIfTrue="1">
      <formula>$U$16&lt;$U$20</formula>
    </cfRule>
    <cfRule type="expression" dxfId="611" priority="22" stopIfTrue="1">
      <formula>$T$16&lt;$U$4</formula>
    </cfRule>
  </conditionalFormatting>
  <pageMargins left="0.41" right="0.25" top="1" bottom="1" header="0.5" footer="0.5"/>
  <pageSetup paperSize="9" scale="64" orientation="landscape" horizontalDpi="4294967293" verticalDpi="0" r:id="rId1"/>
  <headerFooter alignWithMargins="0">
    <oddHeader>&amp;C&amp;14Ontwikkelings Perspectief (OP)</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P44"/>
  <sheetViews>
    <sheetView showGridLines="0" showRowColHeaders="0" zoomScale="85" zoomScaleNormal="85" workbookViewId="0"/>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6</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t="str">
        <f>BEGINBLAD!B6</f>
        <v>leerling 1</v>
      </c>
      <c r="D6" s="152">
        <v>2.2999999999999998</v>
      </c>
      <c r="E6" s="153">
        <v>2.1</v>
      </c>
      <c r="F6" s="153">
        <v>2.2999999999999998</v>
      </c>
      <c r="G6" s="153">
        <v>3.3</v>
      </c>
      <c r="H6" s="153">
        <v>3.8</v>
      </c>
      <c r="I6" s="162">
        <v>5</v>
      </c>
      <c r="J6" s="43">
        <f t="shared" ref="J6:J41" si="0">SUM(D6:I6)</f>
        <v>18.8</v>
      </c>
      <c r="K6" s="166">
        <f t="shared" ref="K6:K41" si="1">COUNTA(D6:I6)</f>
        <v>6</v>
      </c>
      <c r="L6" s="165"/>
      <c r="M6" s="156">
        <f t="shared" ref="M6:M41" si="2">IF(K6=0,"",IF(K6&gt;0,J6/K6))</f>
        <v>3.1333333333333333</v>
      </c>
      <c r="N6" s="157" t="str">
        <f t="shared" ref="N6:N41" si="3">IF(M6="","",IF(M6&gt;=4.5,"A+",IF(M6&gt;=4,"A",IF(M6&gt;=3,"B",IF(M6&gt;2.3,"C",IF(M6&gt;=2,"C-",IF(M6&gt;=1,"D",IF(M6&gt;0,"E"))))))))</f>
        <v>B</v>
      </c>
      <c r="O6" s="24"/>
      <c r="P6" s="20"/>
    </row>
    <row r="7" spans="2:16" ht="19.5" customHeight="1" x14ac:dyDescent="0.2">
      <c r="B7" s="39">
        <v>2</v>
      </c>
      <c r="C7" s="27" t="str">
        <f>BEGINBLAD!B7</f>
        <v>leerling 2</v>
      </c>
      <c r="D7" s="152">
        <v>1</v>
      </c>
      <c r="E7" s="153">
        <v>1.4</v>
      </c>
      <c r="F7" s="153">
        <v>3.2</v>
      </c>
      <c r="G7" s="153">
        <v>2.9</v>
      </c>
      <c r="H7" s="153">
        <v>1.7</v>
      </c>
      <c r="I7" s="162">
        <v>1.2</v>
      </c>
      <c r="J7" s="43">
        <f t="shared" si="0"/>
        <v>11.399999999999999</v>
      </c>
      <c r="K7" s="166">
        <f t="shared" si="1"/>
        <v>6</v>
      </c>
      <c r="L7" s="165"/>
      <c r="M7" s="156">
        <f t="shared" si="2"/>
        <v>1.8999999999999997</v>
      </c>
      <c r="N7" s="157" t="str">
        <f t="shared" si="3"/>
        <v>D</v>
      </c>
      <c r="O7" s="19"/>
      <c r="P7" s="20"/>
    </row>
    <row r="8" spans="2:16" s="10" customFormat="1" ht="19.5" customHeight="1" x14ac:dyDescent="0.2">
      <c r="B8" s="39">
        <v>3</v>
      </c>
      <c r="C8" s="27" t="str">
        <f>BEGINBLAD!B8</f>
        <v>leerling 3</v>
      </c>
      <c r="D8" s="297">
        <v>2.9</v>
      </c>
      <c r="E8" s="298">
        <v>2.6</v>
      </c>
      <c r="F8" s="299">
        <v>2.2000000000000002</v>
      </c>
      <c r="G8" s="299">
        <v>1.8</v>
      </c>
      <c r="H8" s="299">
        <v>1.6</v>
      </c>
      <c r="I8" s="300">
        <v>2.4</v>
      </c>
      <c r="J8" s="43">
        <f t="shared" si="0"/>
        <v>13.5</v>
      </c>
      <c r="K8" s="166">
        <f t="shared" si="1"/>
        <v>6</v>
      </c>
      <c r="L8" s="165"/>
      <c r="M8" s="156">
        <f t="shared" si="2"/>
        <v>2.25</v>
      </c>
      <c r="N8" s="157" t="str">
        <f t="shared" si="3"/>
        <v>C-</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f t="shared" ref="D42:K42" si="4">AVERAGE(D6:D41)</f>
        <v>2.0666666666666664</v>
      </c>
      <c r="E42" s="169">
        <f t="shared" si="4"/>
        <v>2.0333333333333332</v>
      </c>
      <c r="F42" s="169">
        <f t="shared" si="4"/>
        <v>2.5666666666666669</v>
      </c>
      <c r="G42" s="169">
        <f t="shared" si="4"/>
        <v>2.6666666666666665</v>
      </c>
      <c r="H42" s="169">
        <f t="shared" si="4"/>
        <v>2.3666666666666667</v>
      </c>
      <c r="I42" s="169">
        <f t="shared" si="4"/>
        <v>2.8666666666666667</v>
      </c>
      <c r="J42" s="169">
        <f t="shared" si="4"/>
        <v>1.213888888888889</v>
      </c>
      <c r="K42" s="169">
        <f t="shared" si="4"/>
        <v>0.5</v>
      </c>
      <c r="L42" s="170"/>
      <c r="M42" s="169">
        <f>AVERAGE(M6:M41)</f>
        <v>2.4277777777777776</v>
      </c>
    </row>
    <row r="43" spans="2:16" ht="19.5" customHeight="1" x14ac:dyDescent="0.2">
      <c r="C43" s="168" t="s">
        <v>91</v>
      </c>
      <c r="D43" s="171" t="str">
        <f t="shared" ref="D43:M43" si="5">IF(D42="","",IF(D42&gt;=4.5,"A+",IF(D42&gt;=4,"A",IF(D42&gt;=3,"B",IF(D42&gt;2.3,"C",IF(D42&gt;=2,"C-",IF(D42&gt;=1,"D",IF(D42&gt;0,"E"))))))))</f>
        <v>C-</v>
      </c>
      <c r="E43" s="171" t="str">
        <f t="shared" si="5"/>
        <v>C-</v>
      </c>
      <c r="F43" s="171" t="str">
        <f t="shared" si="5"/>
        <v>C</v>
      </c>
      <c r="G43" s="171" t="str">
        <f t="shared" si="5"/>
        <v>C</v>
      </c>
      <c r="H43" s="171" t="str">
        <f t="shared" si="5"/>
        <v>C</v>
      </c>
      <c r="I43" s="171" t="str">
        <f t="shared" si="5"/>
        <v>C</v>
      </c>
      <c r="J43" s="171" t="str">
        <f t="shared" si="5"/>
        <v>D</v>
      </c>
      <c r="K43" s="171" t="str">
        <f t="shared" si="5"/>
        <v>E</v>
      </c>
      <c r="L43" s="172" t="str">
        <f t="shared" si="5"/>
        <v/>
      </c>
      <c r="M43" s="171" t="str">
        <f t="shared" si="5"/>
        <v>C</v>
      </c>
    </row>
    <row r="44" spans="2:16" x14ac:dyDescent="0.2">
      <c r="C44" s="11">
        <f>BEGINBLAD!$B$42</f>
        <v>3</v>
      </c>
    </row>
  </sheetData>
  <sheetProtection algorithmName="SHA-512" hashValue="M38Mo9AZU0YHpPCT94GPhKKjQ1PLYPEh1AOlOLuos18cFv7MCL0pwkAfjCMmGWtrmDtEoENY7BkQqUn39+cKew==" saltValue="FP+aDtYx9GHGgG4Pk8YWTg==" spinCount="100000" sheet="1"/>
  <mergeCells count="5">
    <mergeCell ref="B2:C2"/>
    <mergeCell ref="E2:F2"/>
    <mergeCell ref="M2:N2"/>
    <mergeCell ref="G2:H2"/>
    <mergeCell ref="I2:L2"/>
  </mergeCells>
  <phoneticPr fontId="3" type="noConversion"/>
  <conditionalFormatting sqref="C6:C41">
    <cfRule type="expression" dxfId="610" priority="7" stopIfTrue="1">
      <formula>$N6=""</formula>
    </cfRule>
    <cfRule type="expression" dxfId="609" priority="8" stopIfTrue="1">
      <formula>$N6="A+"</formula>
    </cfRule>
  </conditionalFormatting>
  <conditionalFormatting sqref="N6:N41 D43:M43">
    <cfRule type="cellIs" dxfId="608" priority="9" stopIfTrue="1" operator="between">
      <formula>"D"</formula>
      <formula>"E"</formula>
    </cfRule>
    <cfRule type="cellIs" dxfId="607" priority="10" stopIfTrue="1" operator="between">
      <formula>"B"</formula>
      <formula>"B+"</formula>
    </cfRule>
    <cfRule type="cellIs" dxfId="606" priority="11" stopIfTrue="1" operator="between">
      <formula>"A"</formula>
      <formula>"A+"</formula>
    </cfRule>
  </conditionalFormatting>
  <conditionalFormatting sqref="D6:I7 D9:I41">
    <cfRule type="cellIs" dxfId="605" priority="12" stopIfTrue="1" operator="between">
      <formula>0.1</formula>
      <formula>1.9</formula>
    </cfRule>
    <cfRule type="cellIs" dxfId="604" priority="13" stopIfTrue="1" operator="between">
      <formula>3</formula>
      <formula>3.9</formula>
    </cfRule>
    <cfRule type="cellIs" dxfId="603" priority="14" stopIfTrue="1" operator="between">
      <formula>4</formula>
      <formula>5</formula>
    </cfRule>
  </conditionalFormatting>
  <conditionalFormatting sqref="M6:M41 D42:M42">
    <cfRule type="cellIs" dxfId="602" priority="15" stopIfTrue="1" operator="between">
      <formula>0.001</formula>
      <formula>1.999</formula>
    </cfRule>
    <cfRule type="cellIs" dxfId="601" priority="16" stopIfTrue="1" operator="between">
      <formula>3</formula>
      <formula>3.999</formula>
    </cfRule>
    <cfRule type="cellIs" dxfId="600" priority="17" stopIfTrue="1" operator="between">
      <formula>4</formula>
      <formula>5</formula>
    </cfRule>
  </conditionalFormatting>
  <conditionalFormatting sqref="D8:H8">
    <cfRule type="cellIs" dxfId="599" priority="4" stopIfTrue="1" operator="between">
      <formula>0.1</formula>
      <formula>1.9</formula>
    </cfRule>
    <cfRule type="cellIs" dxfId="598" priority="5" stopIfTrue="1" operator="between">
      <formula>3</formula>
      <formula>3.9</formula>
    </cfRule>
    <cfRule type="cellIs" dxfId="597" priority="6" stopIfTrue="1" operator="between">
      <formula>4</formula>
      <formula>5</formula>
    </cfRule>
  </conditionalFormatting>
  <conditionalFormatting sqref="I8">
    <cfRule type="cellIs" dxfId="596" priority="1" stopIfTrue="1" operator="between">
      <formula>0.1</formula>
      <formula>1.9</formula>
    </cfRule>
    <cfRule type="cellIs" dxfId="595" priority="2" stopIfTrue="1" operator="between">
      <formula>3</formula>
      <formula>3.9</formula>
    </cfRule>
    <cfRule type="cellIs" dxfId="594" priority="3"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1"/>
  </sheetPr>
  <dimension ref="A1:BG72"/>
  <sheetViews>
    <sheetView showGridLines="0" showRowColHeaders="0" zoomScale="85" zoomScaleNormal="85" workbookViewId="0">
      <selection activeCell="AD1" sqref="AD1:AU1048576"/>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29">
        <f>'NW - M6'!$D$2</f>
        <v>6</v>
      </c>
      <c r="K1" s="331"/>
      <c r="L1" s="244"/>
      <c r="M1" s="32"/>
      <c r="N1" s="323" t="s">
        <v>23</v>
      </c>
      <c r="O1" s="323"/>
      <c r="P1" s="214"/>
      <c r="Q1" s="214"/>
      <c r="U1" s="5" t="b">
        <f>IF($J$1=3,"ja",IF($J$1="3A","ja",IF($J$1="3B","ja",IF($J$1="3C","ja"))))</f>
        <v>0</v>
      </c>
      <c r="X1" s="5" t="b">
        <f>IF($J$1=4,"ja",IF($J$1="4A","ja",IF($J$1="4B","ja",IF($J$1="4C","ja"))))</f>
        <v>0</v>
      </c>
      <c r="AA1" s="5" t="str">
        <f>IF($J$1=6,"ja",IF($J$1="6A","ja",IF($J$1="6B","ja",IF($J$1="6C","ja"))))</f>
        <v>ja</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0"/>
      <c r="K2" s="322"/>
      <c r="L2" s="245"/>
      <c r="M2" s="32"/>
      <c r="N2" s="324" t="s">
        <v>30</v>
      </c>
      <c r="O2" s="324"/>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25"/>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7"/>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4" t="s">
        <v>35</v>
      </c>
      <c r="P9" s="345"/>
      <c r="Q9" s="345"/>
      <c r="R9" s="345"/>
      <c r="S9" s="345"/>
      <c r="T9" s="345"/>
      <c r="U9" s="345"/>
      <c r="V9" s="345"/>
      <c r="W9" s="346"/>
      <c r="X9" s="344" t="s">
        <v>36</v>
      </c>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199"/>
      <c r="AW9" s="328" t="s">
        <v>113</v>
      </c>
      <c r="AX9" s="328"/>
      <c r="AY9" s="328"/>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t="str">
        <f>BEGINBLAD!B6</f>
        <v>leerling 1</v>
      </c>
      <c r="C17" s="110" t="str">
        <f>IF('RIO - E5'!C17="","",IF('RIO - E5'!C17&gt;"",'RIO - E5'!C17))</f>
        <v>C</v>
      </c>
      <c r="D17" s="149" t="str">
        <f>IF('NW - M6'!N6="","",IF('NW - M6'!N6="A+","A",IF('NW - M6'!N6="A","A",IF('NW - M6'!N6="B","B",IF('NW - M6'!N6="C","C",IF('NW - M6'!N6="C-","C",IF('NW - M6'!N6="D","D",IF('NW - M6'!N6="E","E"))))))))</f>
        <v>B</v>
      </c>
      <c r="E17" s="110"/>
      <c r="F17" s="192">
        <f t="shared" ref="F17:F52" si="0">IF(C17="","",IF(C17="A",5,IF(C17="B",4,IF(C17="C",3,IF(C17="D",2,IF(C17="E",1))))))</f>
        <v>3</v>
      </c>
      <c r="G17" s="192">
        <f t="shared" ref="G17:G52" si="1">IF(D17="","",IF(D17="A",5,IF(D17="B",4,IF(D17="C",3,IF(D17="D",2,IF(D17="E",1))))))</f>
        <v>4</v>
      </c>
      <c r="H17" s="191" t="str">
        <f t="shared" ref="H17:H52" si="2">IF(E17="","",IF(E17="A",5,IF(E17="B",4,IF(E17="C",3,IF(E17="D",2,IF(E17="E",1))))))</f>
        <v/>
      </c>
      <c r="I17" s="193">
        <f t="shared" ref="I17:I52" si="3">IF(F17="",H17,IF(H17="",F17,IF(F17&gt;H17,F17,IF(F17&lt;H17,H17,IF(F17=H17,F17)))))</f>
        <v>3</v>
      </c>
      <c r="J17" s="208" t="str">
        <f t="shared" ref="J17:J52" si="4">IF(I17="","",IF(I17=5,"A",IF(I17=4,"B",IF(I17=3,"C",IF(I17=2,"D",IF(I17=1,"E"))))))</f>
        <v>C</v>
      </c>
      <c r="K17" s="210">
        <f t="shared" ref="K17:K52" si="5">IF(I17="","",IF(I17=5,4,IF(I17=4,3.2,IF(I17=3,2.4,IF(I17=2,1.6,IF(I17=1,0.8))))))</f>
        <v>2.4</v>
      </c>
      <c r="L17" s="188"/>
      <c r="M17" s="104"/>
      <c r="N17" s="105"/>
      <c r="O17" s="250" t="str">
        <f t="shared" ref="O17:O52" si="6">IF(P17=0,0,IF(P17&gt;=4,"A",IF(P17&gt;=3,"B",IF(P17&gt;2.3,"C",IF(P17&gt;=1,"D",IF(P17&gt;0,"E"))))))</f>
        <v>D</v>
      </c>
      <c r="P17" s="249">
        <f>IF('NW - M6'!D6=0,0,IF('NW - M6'!D6&gt;=0,'NW - M6'!D6))</f>
        <v>2.2999999999999998</v>
      </c>
      <c r="Q17" s="206">
        <f t="shared" ref="Q17:Q52" si="7">IF(K17="","",IF(P17=0,"",IF(P17&gt;0,P17/K17)))</f>
        <v>0.95833333333333326</v>
      </c>
      <c r="R17" s="250" t="str">
        <f t="shared" ref="R17:R52" si="8">IF(S17=0,0,IF(S17&gt;=4,"A",IF(S17&gt;=3,"B",IF(S17&gt;2.3,"C",IF(S17&gt;=1,"D",IF(S17&gt;0,"E"))))))</f>
        <v>D</v>
      </c>
      <c r="S17" s="249">
        <f>IF('NW - M6'!F6=0,0,IF('NW - M6'!F6&gt;=0,'NW - M6'!F6))</f>
        <v>2.2999999999999998</v>
      </c>
      <c r="T17" s="206">
        <f t="shared" ref="T17:T52" si="9">IF(K17="","",IF(S17=0,"",IF(S17&gt;0,S17/K17)))</f>
        <v>0.95833333333333326</v>
      </c>
      <c r="U17" s="250" t="str">
        <f t="shared" ref="U17:U52" si="10">IF(V17=0,0,IF(V17&gt;=4,"A",IF(V17&gt;=3,"B",IF(V17&gt;2.3,"C",IF(V17&gt;=1,"D",IF(V17&gt;0,"E"))))))</f>
        <v>D</v>
      </c>
      <c r="V17" s="249">
        <f>IF('NW - M6'!E6=0,0,IF('NW - M6'!E6&gt;=0,'NW - M6'!E6))</f>
        <v>2.1</v>
      </c>
      <c r="W17" s="206">
        <f t="shared" ref="W17:W52" si="11">IF(K17="","",IF(V17=0,"",IF(V17&gt;0,V17/K17)))</f>
        <v>0.87500000000000011</v>
      </c>
      <c r="X17" s="250" t="str">
        <f t="shared" ref="X17:X52" si="12">IF(Y17=0,0,IF(Y17&gt;=4,"A",IF(Y17&gt;=3,"B",IF(Y17&gt;2.3,"C",IF(Y17&gt;=1,"D",IF(Y17&gt;0,"E"))))))</f>
        <v>A</v>
      </c>
      <c r="Y17" s="249">
        <f>IF('NW - M6'!I6=0,0,IF('NW - M6'!I6&gt;=0,'NW - M6'!I6))</f>
        <v>5</v>
      </c>
      <c r="Z17" s="206">
        <f t="shared" ref="Z17:Z52" si="13">IF(K17="","",IF(Y17=0,"",IF(Y17&gt;0,Y17/K17)))</f>
        <v>2.0833333333333335</v>
      </c>
      <c r="AA17" s="250" t="str">
        <f t="shared" ref="AA17:AA52" si="14">IF(AB17=0,0,IF(AB17&gt;=4,"A",IF(AB17&gt;=3,"B",IF(AB17&gt;2.3,"C",IF(AB17&gt;=1,"D",IF(AB17&gt;0,"E"))))))</f>
        <v>B</v>
      </c>
      <c r="AB17" s="249">
        <f>IF('NW - M6'!H6=0,0,IF('NW - M6'!H6&gt;=0,'NW - M6'!H6))</f>
        <v>3.8</v>
      </c>
      <c r="AC17" s="206">
        <f t="shared" ref="AC17:AC52" si="15">IF(K17="","",IF(AB17=0,"",IF(AB17&gt;0,AB17/K17)))</f>
        <v>1.5833333333333333</v>
      </c>
      <c r="AD17" s="1">
        <f>IF($J17="","",IF(O17=0,"",IF(Q17&lt;0.8,"",IF(Q17&gt;=0.8,1))))</f>
        <v>1</v>
      </c>
      <c r="AE17" s="1">
        <f t="shared" ref="AE17:AE52" si="16">IF($J17="","",IF(R17=0,"",IF(T17&lt;0.8,"",IF(T17&gt;=0.8,1))))</f>
        <v>1</v>
      </c>
      <c r="AF17" s="1">
        <f t="shared" ref="AF17:AF52" si="17">IF($J17="","",IF(U17=0,"",IF(W17&lt;0.8,"",IF(W17&gt;=0.8,1))))</f>
        <v>1</v>
      </c>
      <c r="AG17" s="1">
        <f t="shared" ref="AG17:AG52" si="18">IF($J17="","",IF(X17=0,"",IF(Z17&lt;0.8,"",IF(Z17&gt;=0.8,1))))</f>
        <v>1</v>
      </c>
      <c r="AH17" s="1">
        <f t="shared" ref="AH17:AH52" si="19">IF($J17="","",IF(AA17=0,"",IF(AC17&lt;0.8,"",IF(AC17&gt;=0.8,1))))</f>
        <v>1</v>
      </c>
      <c r="AI17" s="1">
        <f t="shared" ref="AI17:AI52" si="20">SUM(AD17:AH17)</f>
        <v>5</v>
      </c>
      <c r="AJ17" s="106" t="b">
        <f t="shared" ref="AJ17:AJ52" si="21">IF($J17="A",$AV17)</f>
        <v>0</v>
      </c>
      <c r="AK17" s="106" t="b">
        <f t="shared" ref="AK17:AK52" si="22">IF($J17="B",$AV17)</f>
        <v>0</v>
      </c>
      <c r="AL17" s="106">
        <f t="shared" ref="AL17:AL52" si="23">IF($J17="C",$AV17)</f>
        <v>1</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f>IF(J17="","",IF(J17&gt;0,COUNT(O17+R17+U17+X17+AA17)))</f>
        <v>0</v>
      </c>
      <c r="AU17" s="198">
        <f t="shared" ref="AU17:AU52" si="30">5-AT17</f>
        <v>5</v>
      </c>
      <c r="AV17" s="204">
        <f t="shared" ref="AV17:AV52" si="31">IF(AT17="","",IF(AU17=0,"",IF(AU17&gt;0,AI17/AU17)))</f>
        <v>1</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t="str">
        <f>BEGINBLAD!B7</f>
        <v>leerling 2</v>
      </c>
      <c r="C18" s="110" t="s">
        <v>3</v>
      </c>
      <c r="D18" s="149" t="str">
        <f>IF('NW - M6'!N7="","",IF('NW - M6'!N7="A+","A",IF('NW - M6'!N7="A","A",IF('NW - M6'!N7="B","B",IF('NW - M6'!N7="C","C",IF('NW - M6'!N7="C-","C",IF('NW - M6'!N7="D","D",IF('NW - M6'!N7="E","E"))))))))</f>
        <v>D</v>
      </c>
      <c r="E18" s="110"/>
      <c r="F18" s="192">
        <f t="shared" si="0"/>
        <v>2</v>
      </c>
      <c r="G18" s="192">
        <f t="shared" si="1"/>
        <v>2</v>
      </c>
      <c r="H18" s="191" t="str">
        <f t="shared" si="2"/>
        <v/>
      </c>
      <c r="I18" s="193">
        <f t="shared" si="3"/>
        <v>2</v>
      </c>
      <c r="J18" s="208" t="str">
        <f t="shared" si="4"/>
        <v>D</v>
      </c>
      <c r="K18" s="210">
        <f t="shared" si="5"/>
        <v>1.6</v>
      </c>
      <c r="L18" s="189"/>
      <c r="M18" s="110"/>
      <c r="N18" s="117"/>
      <c r="O18" s="250" t="str">
        <f t="shared" si="6"/>
        <v>D</v>
      </c>
      <c r="P18" s="249">
        <f>IF('NW - M6'!D7=0,0,IF('NW - M6'!D7&gt;=0,'NW - M6'!D7))</f>
        <v>1</v>
      </c>
      <c r="Q18" s="206">
        <f t="shared" si="7"/>
        <v>0.625</v>
      </c>
      <c r="R18" s="250" t="str">
        <f t="shared" si="8"/>
        <v>B</v>
      </c>
      <c r="S18" s="249">
        <f>IF('NW - M6'!F7=0,0,IF('NW - M6'!F7&gt;=0,'NW - M6'!F7))</f>
        <v>3.2</v>
      </c>
      <c r="T18" s="206">
        <f t="shared" si="9"/>
        <v>2</v>
      </c>
      <c r="U18" s="250" t="str">
        <f t="shared" si="10"/>
        <v>D</v>
      </c>
      <c r="V18" s="249">
        <f>IF('NW - M6'!E7=0,0,IF('NW - M6'!E7&gt;=0,'NW - M6'!E7))</f>
        <v>1.4</v>
      </c>
      <c r="W18" s="206">
        <f t="shared" si="11"/>
        <v>0.87499999999999989</v>
      </c>
      <c r="X18" s="250" t="str">
        <f t="shared" si="12"/>
        <v>D</v>
      </c>
      <c r="Y18" s="249">
        <f>IF('NW - M6'!I7=0,0,IF('NW - M6'!I7&gt;=0,'NW - M6'!I7))</f>
        <v>1.2</v>
      </c>
      <c r="Z18" s="206">
        <f t="shared" si="13"/>
        <v>0.74999999999999989</v>
      </c>
      <c r="AA18" s="250" t="str">
        <f t="shared" si="14"/>
        <v>D</v>
      </c>
      <c r="AB18" s="249">
        <f>IF('NW - M6'!H7=0,0,IF('NW - M6'!H7&gt;=0,'NW - M6'!H7))</f>
        <v>1.7</v>
      </c>
      <c r="AC18" s="206">
        <f t="shared" si="15"/>
        <v>1.0625</v>
      </c>
      <c r="AD18" s="1" t="str">
        <f t="shared" ref="AD18:AD52" si="39">IF(J18="","",IF(O18=0,"",IF(Q18&lt;0.8,"",IF(Q18&gt;=0.8,1))))</f>
        <v/>
      </c>
      <c r="AE18" s="1">
        <f t="shared" si="16"/>
        <v>1</v>
      </c>
      <c r="AF18" s="1">
        <f t="shared" si="17"/>
        <v>1</v>
      </c>
      <c r="AG18" s="1" t="str">
        <f t="shared" si="18"/>
        <v/>
      </c>
      <c r="AH18" s="1">
        <f t="shared" si="19"/>
        <v>1</v>
      </c>
      <c r="AI18" s="1">
        <f t="shared" si="20"/>
        <v>3</v>
      </c>
      <c r="AJ18" s="106" t="b">
        <f t="shared" si="21"/>
        <v>0</v>
      </c>
      <c r="AK18" s="106" t="b">
        <f t="shared" si="22"/>
        <v>0</v>
      </c>
      <c r="AL18" s="106" t="b">
        <f t="shared" si="23"/>
        <v>0</v>
      </c>
      <c r="AM18" s="106">
        <f t="shared" si="24"/>
        <v>0.6</v>
      </c>
      <c r="AN18" s="106" t="b">
        <f t="shared" si="25"/>
        <v>0</v>
      </c>
      <c r="AO18" s="106" t="b">
        <f t="shared" ref="AO18:AO52" si="40">IF($J18="1",$AV18)</f>
        <v>0</v>
      </c>
      <c r="AP18" s="106" t="b">
        <f t="shared" si="26"/>
        <v>0</v>
      </c>
      <c r="AQ18" s="106" t="b">
        <f t="shared" si="27"/>
        <v>0</v>
      </c>
      <c r="AR18" s="106" t="b">
        <f t="shared" si="28"/>
        <v>0</v>
      </c>
      <c r="AS18" s="106" t="b">
        <f t="shared" si="29"/>
        <v>0</v>
      </c>
      <c r="AT18" s="148">
        <f t="shared" ref="AT18:AT52" si="41">IF(J18="","",IF(J18&gt;0,COUNT(O18+R18+U18+X18+AA18)))</f>
        <v>0</v>
      </c>
      <c r="AU18" s="198">
        <f t="shared" si="30"/>
        <v>5</v>
      </c>
      <c r="AV18" s="204">
        <f t="shared" si="31"/>
        <v>0.6</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t="str">
        <f>BEGINBLAD!B8</f>
        <v>leerling 3</v>
      </c>
      <c r="C19" s="110" t="str">
        <f>IF('RIO - E5'!C19="","",IF('RIO - E5'!C19&gt;"",'RIO - E5'!C19))</f>
        <v>C</v>
      </c>
      <c r="D19" s="149" t="str">
        <f>IF('NW - M6'!N8="","",IF('NW - M6'!N8="A+","A",IF('NW - M6'!N8="A","A",IF('NW - M6'!N8="B","B",IF('NW - M6'!N8="C","C",IF('NW - M6'!N8="C-","C",IF('NW - M6'!N8="D","D",IF('NW - M6'!N8="E","E"))))))))</f>
        <v>C</v>
      </c>
      <c r="E19" s="110"/>
      <c r="F19" s="192">
        <f t="shared" si="0"/>
        <v>3</v>
      </c>
      <c r="G19" s="192">
        <f t="shared" si="1"/>
        <v>3</v>
      </c>
      <c r="H19" s="191" t="str">
        <f t="shared" si="2"/>
        <v/>
      </c>
      <c r="I19" s="193">
        <f t="shared" si="3"/>
        <v>3</v>
      </c>
      <c r="J19" s="208" t="str">
        <f t="shared" si="4"/>
        <v>C</v>
      </c>
      <c r="K19" s="210">
        <f t="shared" si="5"/>
        <v>2.4</v>
      </c>
      <c r="L19" s="189"/>
      <c r="M19" s="110"/>
      <c r="N19" s="117"/>
      <c r="O19" s="250" t="str">
        <f t="shared" si="6"/>
        <v>C</v>
      </c>
      <c r="P19" s="249">
        <f>IF('NW - M6'!D8=0,0,IF('NW - M6'!D8&gt;=0,'NW - M6'!D8))</f>
        <v>2.9</v>
      </c>
      <c r="Q19" s="206">
        <f t="shared" si="7"/>
        <v>1.2083333333333333</v>
      </c>
      <c r="R19" s="250" t="str">
        <f t="shared" si="8"/>
        <v>D</v>
      </c>
      <c r="S19" s="249">
        <f>IF('NW - M6'!F8=0,0,IF('NW - M6'!F8&gt;=0,'NW - M6'!F8))</f>
        <v>2.2000000000000002</v>
      </c>
      <c r="T19" s="206">
        <f t="shared" si="9"/>
        <v>0.91666666666666674</v>
      </c>
      <c r="U19" s="250" t="str">
        <f t="shared" si="10"/>
        <v>C</v>
      </c>
      <c r="V19" s="249">
        <f>IF('NW - M6'!E8=0,0,IF('NW - M6'!E8&gt;=0,'NW - M6'!E8))</f>
        <v>2.6</v>
      </c>
      <c r="W19" s="206">
        <f t="shared" si="11"/>
        <v>1.0833333333333335</v>
      </c>
      <c r="X19" s="250" t="str">
        <f t="shared" si="12"/>
        <v>C</v>
      </c>
      <c r="Y19" s="249">
        <f>IF('NW - M6'!I8=0,0,IF('NW - M6'!I8&gt;=0,'NW - M6'!I8))</f>
        <v>2.4</v>
      </c>
      <c r="Z19" s="206">
        <f t="shared" si="13"/>
        <v>1</v>
      </c>
      <c r="AA19" s="250" t="str">
        <f t="shared" si="14"/>
        <v>D</v>
      </c>
      <c r="AB19" s="249">
        <f>IF('NW - M6'!H8=0,0,IF('NW - M6'!H8&gt;=0,'NW - M6'!H8))</f>
        <v>1.6</v>
      </c>
      <c r="AC19" s="206">
        <f t="shared" si="15"/>
        <v>0.66666666666666674</v>
      </c>
      <c r="AD19" s="1">
        <f t="shared" si="39"/>
        <v>1</v>
      </c>
      <c r="AE19" s="1">
        <f t="shared" si="16"/>
        <v>1</v>
      </c>
      <c r="AF19" s="1">
        <f t="shared" si="17"/>
        <v>1</v>
      </c>
      <c r="AG19" s="1">
        <f t="shared" si="18"/>
        <v>1</v>
      </c>
      <c r="AH19" s="1" t="str">
        <f t="shared" si="19"/>
        <v/>
      </c>
      <c r="AI19" s="1">
        <f t="shared" si="20"/>
        <v>4</v>
      </c>
      <c r="AJ19" s="106" t="b">
        <f t="shared" si="21"/>
        <v>0</v>
      </c>
      <c r="AK19" s="106" t="b">
        <f t="shared" si="22"/>
        <v>0</v>
      </c>
      <c r="AL19" s="106">
        <f t="shared" si="23"/>
        <v>0.8</v>
      </c>
      <c r="AM19" s="106" t="b">
        <f t="shared" si="24"/>
        <v>0</v>
      </c>
      <c r="AN19" s="106" t="b">
        <f t="shared" si="25"/>
        <v>0</v>
      </c>
      <c r="AO19" s="106" t="b">
        <f t="shared" si="40"/>
        <v>0</v>
      </c>
      <c r="AP19" s="106" t="b">
        <f t="shared" si="26"/>
        <v>0</v>
      </c>
      <c r="AQ19" s="106" t="b">
        <f t="shared" si="27"/>
        <v>0</v>
      </c>
      <c r="AR19" s="106" t="b">
        <f t="shared" si="28"/>
        <v>0</v>
      </c>
      <c r="AS19" s="106" t="b">
        <f t="shared" si="29"/>
        <v>0</v>
      </c>
      <c r="AT19" s="148">
        <f t="shared" si="41"/>
        <v>0</v>
      </c>
      <c r="AU19" s="198">
        <f t="shared" si="30"/>
        <v>5</v>
      </c>
      <c r="AV19" s="204">
        <f t="shared" si="31"/>
        <v>0.8</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E5'!C20="","",IF('RIO - E5'!C20&gt;"",'RIO - E5'!C20))</f>
        <v/>
      </c>
      <c r="D20" s="149" t="str">
        <f>IF('NW - M6'!N9="","",IF('NW - M6'!N9="A+","A",IF('NW - M6'!N9="A","A",IF('NW - M6'!N9="B","B",IF('NW - M6'!N9="C","C",IF('NW - M6'!N9="C-","C",IF('NW - M6'!N9="D","D",IF('NW - M6'!N9="E","E"))))))))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M6'!D9=0,0,IF('NW - M6'!D9&gt;=0,'NW - M6'!D9))</f>
        <v>0</v>
      </c>
      <c r="Q20" s="206" t="str">
        <f t="shared" si="7"/>
        <v/>
      </c>
      <c r="R20" s="250">
        <f t="shared" si="8"/>
        <v>0</v>
      </c>
      <c r="S20" s="249">
        <f>IF('NW - M6'!F9=0,0,IF('NW - M6'!F9&gt;=0,'NW - M6'!F9))</f>
        <v>0</v>
      </c>
      <c r="T20" s="206" t="str">
        <f t="shared" si="9"/>
        <v/>
      </c>
      <c r="U20" s="250">
        <f t="shared" si="10"/>
        <v>0</v>
      </c>
      <c r="V20" s="249">
        <f>IF('NW - M6'!E9=0,0,IF('NW - M6'!E9&gt;=0,'NW - M6'!E9))</f>
        <v>0</v>
      </c>
      <c r="W20" s="206" t="str">
        <f t="shared" si="11"/>
        <v/>
      </c>
      <c r="X20" s="250">
        <f t="shared" si="12"/>
        <v>0</v>
      </c>
      <c r="Y20" s="249">
        <f>IF('NW - M6'!I9=0,0,IF('NW - M6'!I9&gt;=0,'NW - M6'!I9))</f>
        <v>0</v>
      </c>
      <c r="Z20" s="206" t="str">
        <f t="shared" si="13"/>
        <v/>
      </c>
      <c r="AA20" s="250">
        <f t="shared" si="14"/>
        <v>0</v>
      </c>
      <c r="AB20" s="249">
        <f>IF('NW - M6'!H9=0,0,IF('NW - M6'!H9&gt;=0,'NW - M6'!H9))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E5'!C21="","",IF('RIO - E5'!C21&gt;"",'RIO - E5'!C21))</f>
        <v/>
      </c>
      <c r="D21" s="149" t="str">
        <f>IF('NW - M6'!N10="","",IF('NW - M6'!N10="A+","A",IF('NW - M6'!N10="A","A",IF('NW - M6'!N10="B","B",IF('NW - M6'!N10="C","C",IF('NW - M6'!N10="C-","C",IF('NW - M6'!N10="D","D",IF('NW - M6'!N10="E","E"))))))))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M6'!D10=0,0,IF('NW - M6'!D10&gt;=0,'NW - M6'!D10))</f>
        <v>0</v>
      </c>
      <c r="Q21" s="206" t="str">
        <f t="shared" si="7"/>
        <v/>
      </c>
      <c r="R21" s="250">
        <f t="shared" si="8"/>
        <v>0</v>
      </c>
      <c r="S21" s="249">
        <f>IF('NW - M6'!F10=0,0,IF('NW - M6'!F10&gt;=0,'NW - M6'!F10))</f>
        <v>0</v>
      </c>
      <c r="T21" s="206" t="str">
        <f t="shared" si="9"/>
        <v/>
      </c>
      <c r="U21" s="250">
        <f t="shared" si="10"/>
        <v>0</v>
      </c>
      <c r="V21" s="249">
        <f>IF('NW - M6'!E10=0,0,IF('NW - M6'!E10&gt;=0,'NW - M6'!E10))</f>
        <v>0</v>
      </c>
      <c r="W21" s="206" t="str">
        <f t="shared" si="11"/>
        <v/>
      </c>
      <c r="X21" s="250">
        <f t="shared" si="12"/>
        <v>0</v>
      </c>
      <c r="Y21" s="249">
        <f>IF('NW - M6'!I10=0,0,IF('NW - M6'!I10&gt;=0,'NW - M6'!I10))</f>
        <v>0</v>
      </c>
      <c r="Z21" s="206" t="str">
        <f t="shared" si="13"/>
        <v/>
      </c>
      <c r="AA21" s="250">
        <f t="shared" si="14"/>
        <v>0</v>
      </c>
      <c r="AB21" s="249">
        <f>IF('NW - M6'!H10=0,0,IF('NW - M6'!H10&gt;=0,'NW - M6'!H10))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E5'!C22="","",IF('RIO - E5'!C22&gt;"",'RIO - E5'!C22))</f>
        <v/>
      </c>
      <c r="D22" s="149" t="str">
        <f>IF('NW - M6'!N11="","",IF('NW - M6'!N11="A+","A",IF('NW - M6'!N11="A","A",IF('NW - M6'!N11="B","B",IF('NW - M6'!N11="C","C",IF('NW - M6'!N11="C-","C",IF('NW - M6'!N11="D","D",IF('NW - M6'!N11="E","E"))))))))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M6'!D11=0,0,IF('NW - M6'!D11&gt;=0,'NW - M6'!D11))</f>
        <v>0</v>
      </c>
      <c r="Q22" s="206" t="str">
        <f t="shared" si="7"/>
        <v/>
      </c>
      <c r="R22" s="250">
        <f t="shared" si="8"/>
        <v>0</v>
      </c>
      <c r="S22" s="249">
        <f>IF('NW - M6'!F11=0,0,IF('NW - M6'!F11&gt;=0,'NW - M6'!F11))</f>
        <v>0</v>
      </c>
      <c r="T22" s="206" t="str">
        <f t="shared" si="9"/>
        <v/>
      </c>
      <c r="U22" s="250">
        <f t="shared" si="10"/>
        <v>0</v>
      </c>
      <c r="V22" s="249">
        <f>IF('NW - M6'!E11=0,0,IF('NW - M6'!E11&gt;=0,'NW - M6'!E11))</f>
        <v>0</v>
      </c>
      <c r="W22" s="206" t="str">
        <f t="shared" si="11"/>
        <v/>
      </c>
      <c r="X22" s="250">
        <f t="shared" si="12"/>
        <v>0</v>
      </c>
      <c r="Y22" s="249">
        <f>IF('NW - M6'!I11=0,0,IF('NW - M6'!I11&gt;=0,'NW - M6'!I11))</f>
        <v>0</v>
      </c>
      <c r="Z22" s="206" t="str">
        <f t="shared" si="13"/>
        <v/>
      </c>
      <c r="AA22" s="250">
        <f t="shared" si="14"/>
        <v>0</v>
      </c>
      <c r="AB22" s="249">
        <f>IF('NW - M6'!H11=0,0,IF('NW - M6'!H11&gt;=0,'NW - M6'!H11))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E5'!C23="","",IF('RIO - E5'!C23&gt;"",'RIO - E5'!C23))</f>
        <v/>
      </c>
      <c r="D23" s="149" t="str">
        <f>IF('NW - M6'!N12="","",IF('NW - M6'!N12="A+","A",IF('NW - M6'!N12="A","A",IF('NW - M6'!N12="B","B",IF('NW - M6'!N12="C","C",IF('NW - M6'!N12="C-","C",IF('NW - M6'!N12="D","D",IF('NW - M6'!N12="E","E"))))))))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M6'!D12=0,0,IF('NW - M6'!D12&gt;=0,'NW - M6'!D12))</f>
        <v>0</v>
      </c>
      <c r="Q23" s="206" t="str">
        <f t="shared" si="7"/>
        <v/>
      </c>
      <c r="R23" s="250">
        <f t="shared" si="8"/>
        <v>0</v>
      </c>
      <c r="S23" s="249">
        <f>IF('NW - M6'!F12=0,0,IF('NW - M6'!F12&gt;=0,'NW - M6'!F12))</f>
        <v>0</v>
      </c>
      <c r="T23" s="206" t="str">
        <f t="shared" si="9"/>
        <v/>
      </c>
      <c r="U23" s="250">
        <f t="shared" si="10"/>
        <v>0</v>
      </c>
      <c r="V23" s="249">
        <f>IF('NW - M6'!E12=0,0,IF('NW - M6'!E12&gt;=0,'NW - M6'!E12))</f>
        <v>0</v>
      </c>
      <c r="W23" s="206" t="str">
        <f t="shared" si="11"/>
        <v/>
      </c>
      <c r="X23" s="250">
        <f t="shared" si="12"/>
        <v>0</v>
      </c>
      <c r="Y23" s="249">
        <f>IF('NW - M6'!I12=0,0,IF('NW - M6'!I12&gt;=0,'NW - M6'!I12))</f>
        <v>0</v>
      </c>
      <c r="Z23" s="206" t="str">
        <f t="shared" si="13"/>
        <v/>
      </c>
      <c r="AA23" s="250">
        <f t="shared" si="14"/>
        <v>0</v>
      </c>
      <c r="AB23" s="249">
        <f>IF('NW - M6'!H12=0,0,IF('NW - M6'!H12&gt;=0,'NW - M6'!H12))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E5'!C24="","",IF('RIO - E5'!C24&gt;"",'RIO - E5'!C24))</f>
        <v/>
      </c>
      <c r="D24" s="149" t="str">
        <f>IF('NW - M6'!N13="","",IF('NW - M6'!N13="A+","A",IF('NW - M6'!N13="A","A",IF('NW - M6'!N13="B","B",IF('NW - M6'!N13="C","C",IF('NW - M6'!N13="C-","C",IF('NW - M6'!N13="D","D",IF('NW - M6'!N13="E","E"))))))))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M6'!D13=0,0,IF('NW - M6'!D13&gt;=0,'NW - M6'!D13))</f>
        <v>0</v>
      </c>
      <c r="Q24" s="206" t="str">
        <f t="shared" si="7"/>
        <v/>
      </c>
      <c r="R24" s="250">
        <f t="shared" si="8"/>
        <v>0</v>
      </c>
      <c r="S24" s="249">
        <f>IF('NW - M6'!F13=0,0,IF('NW - M6'!F13&gt;=0,'NW - M6'!F13))</f>
        <v>0</v>
      </c>
      <c r="T24" s="206" t="str">
        <f t="shared" si="9"/>
        <v/>
      </c>
      <c r="U24" s="250">
        <f t="shared" si="10"/>
        <v>0</v>
      </c>
      <c r="V24" s="249">
        <f>IF('NW - M6'!E13=0,0,IF('NW - M6'!E13&gt;=0,'NW - M6'!E13))</f>
        <v>0</v>
      </c>
      <c r="W24" s="206" t="str">
        <f t="shared" si="11"/>
        <v/>
      </c>
      <c r="X24" s="250">
        <f t="shared" si="12"/>
        <v>0</v>
      </c>
      <c r="Y24" s="249">
        <f>IF('NW - M6'!I13=0,0,IF('NW - M6'!I13&gt;=0,'NW - M6'!I13))</f>
        <v>0</v>
      </c>
      <c r="Z24" s="206" t="str">
        <f t="shared" si="13"/>
        <v/>
      </c>
      <c r="AA24" s="250">
        <f t="shared" si="14"/>
        <v>0</v>
      </c>
      <c r="AB24" s="249">
        <f>IF('NW - M6'!H13=0,0,IF('NW - M6'!H13&gt;=0,'NW - M6'!H13))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E5'!C25="","",IF('RIO - E5'!C25&gt;"",'RIO - E5'!C25))</f>
        <v/>
      </c>
      <c r="D25" s="149" t="str">
        <f>IF('NW - M6'!N14="","",IF('NW - M6'!N14="A+","A",IF('NW - M6'!N14="A","A",IF('NW - M6'!N14="B","B",IF('NW - M6'!N14="C","C",IF('NW - M6'!N14="C-","C",IF('NW - M6'!N14="D","D",IF('NW - M6'!N14="E","E"))))))))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M6'!D14=0,0,IF('NW - M6'!D14&gt;=0,'NW - M6'!D14))</f>
        <v>0</v>
      </c>
      <c r="Q25" s="206" t="str">
        <f t="shared" si="7"/>
        <v/>
      </c>
      <c r="R25" s="250">
        <f t="shared" si="8"/>
        <v>0</v>
      </c>
      <c r="S25" s="249">
        <f>IF('NW - M6'!F14=0,0,IF('NW - M6'!F14&gt;=0,'NW - M6'!F14))</f>
        <v>0</v>
      </c>
      <c r="T25" s="206" t="str">
        <f t="shared" si="9"/>
        <v/>
      </c>
      <c r="U25" s="250">
        <f t="shared" si="10"/>
        <v>0</v>
      </c>
      <c r="V25" s="249">
        <f>IF('NW - M6'!E14=0,0,IF('NW - M6'!E14&gt;=0,'NW - M6'!E14))</f>
        <v>0</v>
      </c>
      <c r="W25" s="206" t="str">
        <f t="shared" si="11"/>
        <v/>
      </c>
      <c r="X25" s="250">
        <f t="shared" si="12"/>
        <v>0</v>
      </c>
      <c r="Y25" s="249">
        <f>IF('NW - M6'!I14=0,0,IF('NW - M6'!I14&gt;=0,'NW - M6'!I14))</f>
        <v>0</v>
      </c>
      <c r="Z25" s="206" t="str">
        <f t="shared" si="13"/>
        <v/>
      </c>
      <c r="AA25" s="250">
        <f t="shared" si="14"/>
        <v>0</v>
      </c>
      <c r="AB25" s="249">
        <f>IF('NW - M6'!H14=0,0,IF('NW - M6'!H14&gt;=0,'NW - M6'!H14))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E5'!C26="","",IF('RIO - E5'!C26&gt;"",'RIO - E5'!C26))</f>
        <v/>
      </c>
      <c r="D26" s="149" t="str">
        <f>IF('NW - M6'!N15="","",IF('NW - M6'!N15="A+","A",IF('NW - M6'!N15="A","A",IF('NW - M6'!N15="B","B",IF('NW - M6'!N15="C","C",IF('NW - M6'!N15="C-","C",IF('NW - M6'!N15="D","D",IF('NW - M6'!N15="E","E"))))))))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M6'!D15=0,0,IF('NW - M6'!D15&gt;=0,'NW - M6'!D15))</f>
        <v>0</v>
      </c>
      <c r="Q26" s="206" t="str">
        <f t="shared" si="7"/>
        <v/>
      </c>
      <c r="R26" s="250">
        <f t="shared" si="8"/>
        <v>0</v>
      </c>
      <c r="S26" s="249">
        <f>IF('NW - M6'!F15=0,0,IF('NW - M6'!F15&gt;=0,'NW - M6'!F15))</f>
        <v>0</v>
      </c>
      <c r="T26" s="206" t="str">
        <f t="shared" si="9"/>
        <v/>
      </c>
      <c r="U26" s="250">
        <f t="shared" si="10"/>
        <v>0</v>
      </c>
      <c r="V26" s="249">
        <f>IF('NW - M6'!E15=0,0,IF('NW - M6'!E15&gt;=0,'NW - M6'!E15))</f>
        <v>0</v>
      </c>
      <c r="W26" s="206" t="str">
        <f t="shared" si="11"/>
        <v/>
      </c>
      <c r="X26" s="250">
        <f t="shared" si="12"/>
        <v>0</v>
      </c>
      <c r="Y26" s="249">
        <f>IF('NW - M6'!I15=0,0,IF('NW - M6'!I15&gt;=0,'NW - M6'!I15))</f>
        <v>0</v>
      </c>
      <c r="Z26" s="206" t="str">
        <f t="shared" si="13"/>
        <v/>
      </c>
      <c r="AA26" s="250">
        <f t="shared" si="14"/>
        <v>0</v>
      </c>
      <c r="AB26" s="249">
        <f>IF('NW - M6'!H15=0,0,IF('NW - M6'!H15&gt;=0,'NW - M6'!H15))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E5'!C27="","",IF('RIO - E5'!C27&gt;"",'RIO - E5'!C27))</f>
        <v/>
      </c>
      <c r="D27" s="149" t="str">
        <f>IF('NW - M6'!N16="","",IF('NW - M6'!N16="A+","A",IF('NW - M6'!N16="A","A",IF('NW - M6'!N16="B","B",IF('NW - M6'!N16="C","C",IF('NW - M6'!N16="C-","C",IF('NW - M6'!N16="D","D",IF('NW - M6'!N16="E","E"))))))))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M6'!D16=0,0,IF('NW - M6'!D16&gt;=0,'NW - M6'!D16))</f>
        <v>0</v>
      </c>
      <c r="Q27" s="206" t="str">
        <f t="shared" si="7"/>
        <v/>
      </c>
      <c r="R27" s="250">
        <f t="shared" si="8"/>
        <v>0</v>
      </c>
      <c r="S27" s="249">
        <f>IF('NW - M6'!F16=0,0,IF('NW - M6'!F16&gt;=0,'NW - M6'!F16))</f>
        <v>0</v>
      </c>
      <c r="T27" s="206" t="str">
        <f t="shared" si="9"/>
        <v/>
      </c>
      <c r="U27" s="250">
        <f t="shared" si="10"/>
        <v>0</v>
      </c>
      <c r="V27" s="249">
        <f>IF('NW - M6'!E16=0,0,IF('NW - M6'!E16&gt;=0,'NW - M6'!E16))</f>
        <v>0</v>
      </c>
      <c r="W27" s="206" t="str">
        <f t="shared" si="11"/>
        <v/>
      </c>
      <c r="X27" s="250">
        <f t="shared" si="12"/>
        <v>0</v>
      </c>
      <c r="Y27" s="249">
        <f>IF('NW - M6'!I16=0,0,IF('NW - M6'!I16&gt;=0,'NW - M6'!I16))</f>
        <v>0</v>
      </c>
      <c r="Z27" s="206" t="str">
        <f t="shared" si="13"/>
        <v/>
      </c>
      <c r="AA27" s="250">
        <f t="shared" si="14"/>
        <v>0</v>
      </c>
      <c r="AB27" s="249">
        <f>IF('NW - M6'!H16=0,0,IF('NW - M6'!H16&gt;=0,'NW - M6'!H16))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E5'!C28="","",IF('RIO - E5'!C28&gt;"",'RIO - E5'!C28))</f>
        <v/>
      </c>
      <c r="D28" s="149" t="str">
        <f>IF('NW - M6'!N17="","",IF('NW - M6'!N17="A+","A",IF('NW - M6'!N17="A","A",IF('NW - M6'!N17="B","B",IF('NW - M6'!N17="C","C",IF('NW - M6'!N17="C-","C",IF('NW - M6'!N17="D","D",IF('NW - M6'!N17="E","E"))))))))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M6'!D17=0,0,IF('NW - M6'!D17&gt;=0,'NW - M6'!D17))</f>
        <v>0</v>
      </c>
      <c r="Q28" s="206" t="str">
        <f t="shared" si="7"/>
        <v/>
      </c>
      <c r="R28" s="250">
        <f t="shared" si="8"/>
        <v>0</v>
      </c>
      <c r="S28" s="249">
        <f>IF('NW - M6'!F17=0,0,IF('NW - M6'!F17&gt;=0,'NW - M6'!F17))</f>
        <v>0</v>
      </c>
      <c r="T28" s="206" t="str">
        <f t="shared" si="9"/>
        <v/>
      </c>
      <c r="U28" s="250">
        <f t="shared" si="10"/>
        <v>0</v>
      </c>
      <c r="V28" s="249">
        <f>IF('NW - M6'!E17=0,0,IF('NW - M6'!E17&gt;=0,'NW - M6'!E17))</f>
        <v>0</v>
      </c>
      <c r="W28" s="206" t="str">
        <f t="shared" si="11"/>
        <v/>
      </c>
      <c r="X28" s="250">
        <f t="shared" si="12"/>
        <v>0</v>
      </c>
      <c r="Y28" s="249">
        <f>IF('NW - M6'!I17=0,0,IF('NW - M6'!I17&gt;=0,'NW - M6'!I17))</f>
        <v>0</v>
      </c>
      <c r="Z28" s="206" t="str">
        <f t="shared" si="13"/>
        <v/>
      </c>
      <c r="AA28" s="250">
        <f t="shared" si="14"/>
        <v>0</v>
      </c>
      <c r="AB28" s="249">
        <f>IF('NW - M6'!H17=0,0,IF('NW - M6'!H17&gt;=0,'NW - M6'!H17))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E5'!C29="","",IF('RIO - E5'!C29&gt;"",'RIO - E5'!C29))</f>
        <v/>
      </c>
      <c r="D29" s="149" t="str">
        <f>IF('NW - M6'!N18="","",IF('NW - M6'!N18="A+","A",IF('NW - M6'!N18="A","A",IF('NW - M6'!N18="B","B",IF('NW - M6'!N18="C","C",IF('NW - M6'!N18="C-","C",IF('NW - M6'!N18="D","D",IF('NW - M6'!N18="E","E"))))))))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M6'!D18=0,0,IF('NW - M6'!D18&gt;=0,'NW - M6'!D18))</f>
        <v>0</v>
      </c>
      <c r="Q29" s="206" t="str">
        <f t="shared" si="7"/>
        <v/>
      </c>
      <c r="R29" s="250">
        <f t="shared" si="8"/>
        <v>0</v>
      </c>
      <c r="S29" s="249">
        <f>IF('NW - M6'!F18=0,0,IF('NW - M6'!F18&gt;=0,'NW - M6'!F18))</f>
        <v>0</v>
      </c>
      <c r="T29" s="206" t="str">
        <f t="shared" si="9"/>
        <v/>
      </c>
      <c r="U29" s="250">
        <f t="shared" si="10"/>
        <v>0</v>
      </c>
      <c r="V29" s="249">
        <f>IF('NW - M6'!E18=0,0,IF('NW - M6'!E18&gt;=0,'NW - M6'!E18))</f>
        <v>0</v>
      </c>
      <c r="W29" s="206" t="str">
        <f t="shared" si="11"/>
        <v/>
      </c>
      <c r="X29" s="250">
        <f t="shared" si="12"/>
        <v>0</v>
      </c>
      <c r="Y29" s="249">
        <f>IF('NW - M6'!I18=0,0,IF('NW - M6'!I18&gt;=0,'NW - M6'!I18))</f>
        <v>0</v>
      </c>
      <c r="Z29" s="206" t="str">
        <f t="shared" si="13"/>
        <v/>
      </c>
      <c r="AA29" s="250">
        <f t="shared" si="14"/>
        <v>0</v>
      </c>
      <c r="AB29" s="249">
        <f>IF('NW - M6'!H18=0,0,IF('NW - M6'!H18&gt;=0,'NW - M6'!H18))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E5'!C30="","",IF('RIO - E5'!C30&gt;"",'RIO - E5'!C30))</f>
        <v/>
      </c>
      <c r="D30" s="149" t="str">
        <f>IF('NW - M6'!N19="","",IF('NW - M6'!N19="A+","A",IF('NW - M6'!N19="A","A",IF('NW - M6'!N19="B","B",IF('NW - M6'!N19="C","C",IF('NW - M6'!N19="C-","C",IF('NW - M6'!N19="D","D",IF('NW - M6'!N19="E","E"))))))))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M6'!D19=0,0,IF('NW - M6'!D19&gt;=0,'NW - M6'!D19))</f>
        <v>0</v>
      </c>
      <c r="Q30" s="206" t="str">
        <f t="shared" si="7"/>
        <v/>
      </c>
      <c r="R30" s="250">
        <f t="shared" si="8"/>
        <v>0</v>
      </c>
      <c r="S30" s="249">
        <f>IF('NW - M6'!F19=0,0,IF('NW - M6'!F19&gt;=0,'NW - M6'!F19))</f>
        <v>0</v>
      </c>
      <c r="T30" s="206" t="str">
        <f t="shared" si="9"/>
        <v/>
      </c>
      <c r="U30" s="250">
        <f t="shared" si="10"/>
        <v>0</v>
      </c>
      <c r="V30" s="249">
        <f>IF('NW - M6'!E19=0,0,IF('NW - M6'!E19&gt;=0,'NW - M6'!E19))</f>
        <v>0</v>
      </c>
      <c r="W30" s="206" t="str">
        <f t="shared" si="11"/>
        <v/>
      </c>
      <c r="X30" s="250">
        <f t="shared" si="12"/>
        <v>0</v>
      </c>
      <c r="Y30" s="249">
        <f>IF('NW - M6'!I19=0,0,IF('NW - M6'!I19&gt;=0,'NW - M6'!I19))</f>
        <v>0</v>
      </c>
      <c r="Z30" s="206" t="str">
        <f t="shared" si="13"/>
        <v/>
      </c>
      <c r="AA30" s="250">
        <f t="shared" si="14"/>
        <v>0</v>
      </c>
      <c r="AB30" s="249">
        <f>IF('NW - M6'!H19=0,0,IF('NW - M6'!H19&gt;=0,'NW - M6'!H19))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E5'!C31="","",IF('RIO - E5'!C31&gt;"",'RIO - E5'!C31))</f>
        <v/>
      </c>
      <c r="D31" s="149" t="str">
        <f>IF('NW - M6'!N20="","",IF('NW - M6'!N20="A+","A",IF('NW - M6'!N20="A","A",IF('NW - M6'!N20="B","B",IF('NW - M6'!N20="C","C",IF('NW - M6'!N20="C-","C",IF('NW - M6'!N20="D","D",IF('NW - M6'!N20="E","E"))))))))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M6'!D20=0,0,IF('NW - M6'!D20&gt;=0,'NW - M6'!D20))</f>
        <v>0</v>
      </c>
      <c r="Q31" s="206" t="str">
        <f t="shared" si="7"/>
        <v/>
      </c>
      <c r="R31" s="250">
        <f t="shared" si="8"/>
        <v>0</v>
      </c>
      <c r="S31" s="249">
        <f>IF('NW - M6'!F20=0,0,IF('NW - M6'!F20&gt;=0,'NW - M6'!F20))</f>
        <v>0</v>
      </c>
      <c r="T31" s="206" t="str">
        <f t="shared" si="9"/>
        <v/>
      </c>
      <c r="U31" s="250">
        <f t="shared" si="10"/>
        <v>0</v>
      </c>
      <c r="V31" s="249">
        <f>IF('NW - M6'!E20=0,0,IF('NW - M6'!E20&gt;=0,'NW - M6'!E20))</f>
        <v>0</v>
      </c>
      <c r="W31" s="206" t="str">
        <f t="shared" si="11"/>
        <v/>
      </c>
      <c r="X31" s="250">
        <f t="shared" si="12"/>
        <v>0</v>
      </c>
      <c r="Y31" s="249">
        <f>IF('NW - M6'!I20=0,0,IF('NW - M6'!I20&gt;=0,'NW - M6'!I20))</f>
        <v>0</v>
      </c>
      <c r="Z31" s="206" t="str">
        <f t="shared" si="13"/>
        <v/>
      </c>
      <c r="AA31" s="250">
        <f t="shared" si="14"/>
        <v>0</v>
      </c>
      <c r="AB31" s="249">
        <f>IF('NW - M6'!H20=0,0,IF('NW - M6'!H20&gt;=0,'NW - M6'!H20))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E5'!C32="","",IF('RIO - E5'!C32&gt;"",'RIO - E5'!C32))</f>
        <v/>
      </c>
      <c r="D32" s="149" t="str">
        <f>IF('NW - M6'!N21="","",IF('NW - M6'!N21="A+","A",IF('NW - M6'!N21="A","A",IF('NW - M6'!N21="B","B",IF('NW - M6'!N21="C","C",IF('NW - M6'!N21="C-","C",IF('NW - M6'!N21="D","D",IF('NW - M6'!N21="E","E"))))))))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M6'!D21=0,0,IF('NW - M6'!D21&gt;=0,'NW - M6'!D21))</f>
        <v>0</v>
      </c>
      <c r="Q32" s="206" t="str">
        <f t="shared" si="7"/>
        <v/>
      </c>
      <c r="R32" s="250">
        <f t="shared" si="8"/>
        <v>0</v>
      </c>
      <c r="S32" s="249">
        <f>IF('NW - M6'!F21=0,0,IF('NW - M6'!F21&gt;=0,'NW - M6'!F21))</f>
        <v>0</v>
      </c>
      <c r="T32" s="206" t="str">
        <f t="shared" si="9"/>
        <v/>
      </c>
      <c r="U32" s="250">
        <f t="shared" si="10"/>
        <v>0</v>
      </c>
      <c r="V32" s="249">
        <f>IF('NW - M6'!E21=0,0,IF('NW - M6'!E21&gt;=0,'NW - M6'!E21))</f>
        <v>0</v>
      </c>
      <c r="W32" s="206" t="str">
        <f t="shared" si="11"/>
        <v/>
      </c>
      <c r="X32" s="250">
        <f t="shared" si="12"/>
        <v>0</v>
      </c>
      <c r="Y32" s="249">
        <f>IF('NW - M6'!I21=0,0,IF('NW - M6'!I21&gt;=0,'NW - M6'!I21))</f>
        <v>0</v>
      </c>
      <c r="Z32" s="206" t="str">
        <f t="shared" si="13"/>
        <v/>
      </c>
      <c r="AA32" s="250">
        <f t="shared" si="14"/>
        <v>0</v>
      </c>
      <c r="AB32" s="249">
        <f>IF('NW - M6'!H21=0,0,IF('NW - M6'!H21&gt;=0,'NW - M6'!H21))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E5'!C33="","",IF('RIO - E5'!C33&gt;"",'RIO - E5'!C33))</f>
        <v/>
      </c>
      <c r="D33" s="149" t="str">
        <f>IF('NW - M6'!N22="","",IF('NW - M6'!N22="A+","A",IF('NW - M6'!N22="A","A",IF('NW - M6'!N22="B","B",IF('NW - M6'!N22="C","C",IF('NW - M6'!N22="C-","C",IF('NW - M6'!N22="D","D",IF('NW - M6'!N22="E","E"))))))))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M6'!D22=0,0,IF('NW - M6'!D22&gt;=0,'NW - M6'!D22))</f>
        <v>0</v>
      </c>
      <c r="Q33" s="206" t="str">
        <f t="shared" si="7"/>
        <v/>
      </c>
      <c r="R33" s="250">
        <f t="shared" si="8"/>
        <v>0</v>
      </c>
      <c r="S33" s="249">
        <f>IF('NW - M6'!F22=0,0,IF('NW - M6'!F22&gt;=0,'NW - M6'!F22))</f>
        <v>0</v>
      </c>
      <c r="T33" s="206" t="str">
        <f t="shared" si="9"/>
        <v/>
      </c>
      <c r="U33" s="250">
        <f t="shared" si="10"/>
        <v>0</v>
      </c>
      <c r="V33" s="249">
        <f>IF('NW - M6'!E22=0,0,IF('NW - M6'!E22&gt;=0,'NW - M6'!E22))</f>
        <v>0</v>
      </c>
      <c r="W33" s="206" t="str">
        <f t="shared" si="11"/>
        <v/>
      </c>
      <c r="X33" s="250">
        <f t="shared" si="12"/>
        <v>0</v>
      </c>
      <c r="Y33" s="249">
        <f>IF('NW - M6'!I22=0,0,IF('NW - M6'!I22&gt;=0,'NW - M6'!I22))</f>
        <v>0</v>
      </c>
      <c r="Z33" s="206" t="str">
        <f t="shared" si="13"/>
        <v/>
      </c>
      <c r="AA33" s="250">
        <f t="shared" si="14"/>
        <v>0</v>
      </c>
      <c r="AB33" s="249">
        <f>IF('NW - M6'!H22=0,0,IF('NW - M6'!H22&gt;=0,'NW - M6'!H22))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E5'!C34="","",IF('RIO - E5'!C34&gt;"",'RIO - E5'!C34))</f>
        <v/>
      </c>
      <c r="D34" s="149" t="str">
        <f>IF('NW - M6'!N23="","",IF('NW - M6'!N23="A+","A",IF('NW - M6'!N23="A","A",IF('NW - M6'!N23="B","B",IF('NW - M6'!N23="C","C",IF('NW - M6'!N23="C-","C",IF('NW - M6'!N23="D","D",IF('NW - M6'!N23="E","E"))))))))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M6'!D23=0,0,IF('NW - M6'!D23&gt;=0,'NW - M6'!D23))</f>
        <v>0</v>
      </c>
      <c r="Q34" s="206" t="str">
        <f t="shared" si="7"/>
        <v/>
      </c>
      <c r="R34" s="250">
        <f t="shared" si="8"/>
        <v>0</v>
      </c>
      <c r="S34" s="249">
        <f>IF('NW - M6'!F23=0,0,IF('NW - M6'!F23&gt;=0,'NW - M6'!F23))</f>
        <v>0</v>
      </c>
      <c r="T34" s="206" t="str">
        <f t="shared" si="9"/>
        <v/>
      </c>
      <c r="U34" s="250">
        <f t="shared" si="10"/>
        <v>0</v>
      </c>
      <c r="V34" s="249">
        <f>IF('NW - M6'!E23=0,0,IF('NW - M6'!E23&gt;=0,'NW - M6'!E23))</f>
        <v>0</v>
      </c>
      <c r="W34" s="206" t="str">
        <f t="shared" si="11"/>
        <v/>
      </c>
      <c r="X34" s="250">
        <f t="shared" si="12"/>
        <v>0</v>
      </c>
      <c r="Y34" s="249">
        <f>IF('NW - M6'!I23=0,0,IF('NW - M6'!I23&gt;=0,'NW - M6'!I23))</f>
        <v>0</v>
      </c>
      <c r="Z34" s="206" t="str">
        <f t="shared" si="13"/>
        <v/>
      </c>
      <c r="AA34" s="250">
        <f t="shared" si="14"/>
        <v>0</v>
      </c>
      <c r="AB34" s="249">
        <f>IF('NW - M6'!H23=0,0,IF('NW - M6'!H23&gt;=0,'NW - M6'!H23))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E5'!C35="","",IF('RIO - E5'!C35&gt;"",'RIO - E5'!C35))</f>
        <v/>
      </c>
      <c r="D35" s="149" t="str">
        <f>IF('NW - M6'!N24="","",IF('NW - M6'!N24="A+","A",IF('NW - M6'!N24="A","A",IF('NW - M6'!N24="B","B",IF('NW - M6'!N24="C","C",IF('NW - M6'!N24="C-","C",IF('NW - M6'!N24="D","D",IF('NW - M6'!N24="E","E"))))))))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M6'!D24=0,0,IF('NW - M6'!D24&gt;=0,'NW - M6'!D24))</f>
        <v>0</v>
      </c>
      <c r="Q35" s="206" t="str">
        <f t="shared" si="7"/>
        <v/>
      </c>
      <c r="R35" s="250">
        <f t="shared" si="8"/>
        <v>0</v>
      </c>
      <c r="S35" s="249">
        <f>IF('NW - M6'!F24=0,0,IF('NW - M6'!F24&gt;=0,'NW - M6'!F24))</f>
        <v>0</v>
      </c>
      <c r="T35" s="206" t="str">
        <f t="shared" si="9"/>
        <v/>
      </c>
      <c r="U35" s="250">
        <f t="shared" si="10"/>
        <v>0</v>
      </c>
      <c r="V35" s="249">
        <f>IF('NW - M6'!E24=0,0,IF('NW - M6'!E24&gt;=0,'NW - M6'!E24))</f>
        <v>0</v>
      </c>
      <c r="W35" s="206" t="str">
        <f t="shared" si="11"/>
        <v/>
      </c>
      <c r="X35" s="250">
        <f t="shared" si="12"/>
        <v>0</v>
      </c>
      <c r="Y35" s="249">
        <f>IF('NW - M6'!I24=0,0,IF('NW - M6'!I24&gt;=0,'NW - M6'!I24))</f>
        <v>0</v>
      </c>
      <c r="Z35" s="206" t="str">
        <f t="shared" si="13"/>
        <v/>
      </c>
      <c r="AA35" s="250">
        <f t="shared" si="14"/>
        <v>0</v>
      </c>
      <c r="AB35" s="249">
        <f>IF('NW - M6'!H24=0,0,IF('NW - M6'!H24&gt;=0,'NW - M6'!H24))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E5'!C36="","",IF('RIO - E5'!C36&gt;"",'RIO - E5'!C36))</f>
        <v/>
      </c>
      <c r="D36" s="149" t="str">
        <f>IF('NW - M6'!N25="","",IF('NW - M6'!N25="A+","A",IF('NW - M6'!N25="A","A",IF('NW - M6'!N25="B","B",IF('NW - M6'!N25="C","C",IF('NW - M6'!N25="C-","C",IF('NW - M6'!N25="D","D",IF('NW - M6'!N25="E","E"))))))))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M6'!D25=0,0,IF('NW - M6'!D25&gt;=0,'NW - M6'!D25))</f>
        <v>0</v>
      </c>
      <c r="Q36" s="206" t="str">
        <f t="shared" si="7"/>
        <v/>
      </c>
      <c r="R36" s="250">
        <f t="shared" si="8"/>
        <v>0</v>
      </c>
      <c r="S36" s="249">
        <f>IF('NW - M6'!F25=0,0,IF('NW - M6'!F25&gt;=0,'NW - M6'!F25))</f>
        <v>0</v>
      </c>
      <c r="T36" s="206" t="str">
        <f t="shared" si="9"/>
        <v/>
      </c>
      <c r="U36" s="250">
        <f t="shared" si="10"/>
        <v>0</v>
      </c>
      <c r="V36" s="249">
        <f>IF('NW - M6'!E25=0,0,IF('NW - M6'!E25&gt;=0,'NW - M6'!E25))</f>
        <v>0</v>
      </c>
      <c r="W36" s="206" t="str">
        <f t="shared" si="11"/>
        <v/>
      </c>
      <c r="X36" s="250">
        <f t="shared" si="12"/>
        <v>0</v>
      </c>
      <c r="Y36" s="249">
        <f>IF('NW - M6'!I25=0,0,IF('NW - M6'!I25&gt;=0,'NW - M6'!I25))</f>
        <v>0</v>
      </c>
      <c r="Z36" s="206" t="str">
        <f t="shared" si="13"/>
        <v/>
      </c>
      <c r="AA36" s="250">
        <f t="shared" si="14"/>
        <v>0</v>
      </c>
      <c r="AB36" s="249">
        <f>IF('NW - M6'!H25=0,0,IF('NW - M6'!H25&gt;=0,'NW - M6'!H25))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E5'!C37="","",IF('RIO - E5'!C37&gt;"",'RIO - E5'!C37))</f>
        <v/>
      </c>
      <c r="D37" s="149" t="str">
        <f>IF('NW - M6'!N26="","",IF('NW - M6'!N26="A+","A",IF('NW - M6'!N26="A","A",IF('NW - M6'!N26="B","B",IF('NW - M6'!N26="C","C",IF('NW - M6'!N26="C-","C",IF('NW - M6'!N26="D","D",IF('NW - M6'!N26="E","E"))))))))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M6'!D26=0,0,IF('NW - M6'!D26&gt;=0,'NW - M6'!D26))</f>
        <v>0</v>
      </c>
      <c r="Q37" s="206" t="str">
        <f t="shared" si="7"/>
        <v/>
      </c>
      <c r="R37" s="250">
        <f t="shared" si="8"/>
        <v>0</v>
      </c>
      <c r="S37" s="249">
        <f>IF('NW - M6'!F26=0,0,IF('NW - M6'!F26&gt;=0,'NW - M6'!F26))</f>
        <v>0</v>
      </c>
      <c r="T37" s="206" t="str">
        <f t="shared" si="9"/>
        <v/>
      </c>
      <c r="U37" s="250">
        <f t="shared" si="10"/>
        <v>0</v>
      </c>
      <c r="V37" s="249">
        <f>IF('NW - M6'!E26=0,0,IF('NW - M6'!E26&gt;=0,'NW - M6'!E26))</f>
        <v>0</v>
      </c>
      <c r="W37" s="206" t="str">
        <f t="shared" si="11"/>
        <v/>
      </c>
      <c r="X37" s="250">
        <f t="shared" si="12"/>
        <v>0</v>
      </c>
      <c r="Y37" s="249">
        <f>IF('NW - M6'!I26=0,0,IF('NW - M6'!I26&gt;=0,'NW - M6'!I26))</f>
        <v>0</v>
      </c>
      <c r="Z37" s="206" t="str">
        <f t="shared" si="13"/>
        <v/>
      </c>
      <c r="AA37" s="250">
        <f t="shared" si="14"/>
        <v>0</v>
      </c>
      <c r="AB37" s="249">
        <f>IF('NW - M6'!H26=0,0,IF('NW - M6'!H26&gt;=0,'NW - M6'!H26))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E5'!C38="","",IF('RIO - E5'!C38&gt;"",'RIO - E5'!C38))</f>
        <v/>
      </c>
      <c r="D38" s="149" t="str">
        <f>IF('NW - M6'!N27="","",IF('NW - M6'!N27="A+","A",IF('NW - M6'!N27="A","A",IF('NW - M6'!N27="B","B",IF('NW - M6'!N27="C","C",IF('NW - M6'!N27="C-","C",IF('NW - M6'!N27="D","D",IF('NW - M6'!N27="E","E"))))))))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M6'!D27=0,0,IF('NW - M6'!D27&gt;=0,'NW - M6'!D27))</f>
        <v>0</v>
      </c>
      <c r="Q38" s="206" t="str">
        <f t="shared" si="7"/>
        <v/>
      </c>
      <c r="R38" s="250">
        <f t="shared" si="8"/>
        <v>0</v>
      </c>
      <c r="S38" s="249">
        <f>IF('NW - M6'!F27=0,0,IF('NW - M6'!F27&gt;=0,'NW - M6'!F27))</f>
        <v>0</v>
      </c>
      <c r="T38" s="206" t="str">
        <f t="shared" si="9"/>
        <v/>
      </c>
      <c r="U38" s="250">
        <f t="shared" si="10"/>
        <v>0</v>
      </c>
      <c r="V38" s="249">
        <f>IF('NW - M6'!E27=0,0,IF('NW - M6'!E27&gt;=0,'NW - M6'!E27))</f>
        <v>0</v>
      </c>
      <c r="W38" s="206" t="str">
        <f t="shared" si="11"/>
        <v/>
      </c>
      <c r="X38" s="250">
        <f t="shared" si="12"/>
        <v>0</v>
      </c>
      <c r="Y38" s="249">
        <f>IF('NW - M6'!I27=0,0,IF('NW - M6'!I27&gt;=0,'NW - M6'!I27))</f>
        <v>0</v>
      </c>
      <c r="Z38" s="206" t="str">
        <f t="shared" si="13"/>
        <v/>
      </c>
      <c r="AA38" s="250">
        <f t="shared" si="14"/>
        <v>0</v>
      </c>
      <c r="AB38" s="249">
        <f>IF('NW - M6'!H27=0,0,IF('NW - M6'!H27&gt;=0,'NW - M6'!H27))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E5'!C39="","",IF('RIO - E5'!C39&gt;"",'RIO - E5'!C39))</f>
        <v/>
      </c>
      <c r="D39" s="149" t="str">
        <f>IF('NW - M6'!N28="","",IF('NW - M6'!N28="A+","A",IF('NW - M6'!N28="A","A",IF('NW - M6'!N28="B","B",IF('NW - M6'!N28="C","C",IF('NW - M6'!N28="C-","C",IF('NW - M6'!N28="D","D",IF('NW - M6'!N28="E","E"))))))))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M6'!D28=0,0,IF('NW - M6'!D28&gt;=0,'NW - M6'!D28))</f>
        <v>0</v>
      </c>
      <c r="Q39" s="206" t="str">
        <f t="shared" si="7"/>
        <v/>
      </c>
      <c r="R39" s="250">
        <f t="shared" si="8"/>
        <v>0</v>
      </c>
      <c r="S39" s="249">
        <f>IF('NW - M6'!F28=0,0,IF('NW - M6'!F28&gt;=0,'NW - M6'!F28))</f>
        <v>0</v>
      </c>
      <c r="T39" s="206" t="str">
        <f t="shared" si="9"/>
        <v/>
      </c>
      <c r="U39" s="250">
        <f t="shared" si="10"/>
        <v>0</v>
      </c>
      <c r="V39" s="249">
        <f>IF('NW - M6'!E28=0,0,IF('NW - M6'!E28&gt;=0,'NW - M6'!E28))</f>
        <v>0</v>
      </c>
      <c r="W39" s="206" t="str">
        <f t="shared" si="11"/>
        <v/>
      </c>
      <c r="X39" s="250">
        <f t="shared" si="12"/>
        <v>0</v>
      </c>
      <c r="Y39" s="249">
        <f>IF('NW - M6'!I28=0,0,IF('NW - M6'!I28&gt;=0,'NW - M6'!I28))</f>
        <v>0</v>
      </c>
      <c r="Z39" s="206" t="str">
        <f t="shared" si="13"/>
        <v/>
      </c>
      <c r="AA39" s="250">
        <f t="shared" si="14"/>
        <v>0</v>
      </c>
      <c r="AB39" s="249">
        <f>IF('NW - M6'!H28=0,0,IF('NW - M6'!H28&gt;=0,'NW - M6'!H28))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E5'!C40="","",IF('RIO - E5'!C40&gt;"",'RIO - E5'!C40))</f>
        <v/>
      </c>
      <c r="D40" s="149" t="str">
        <f>IF('NW - M6'!N29="","",IF('NW - M6'!N29="A+","A",IF('NW - M6'!N29="A","A",IF('NW - M6'!N29="B","B",IF('NW - M6'!N29="C","C",IF('NW - M6'!N29="C-","C",IF('NW - M6'!N29="D","D",IF('NW - M6'!N29="E","E"))))))))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M6'!D29=0,0,IF('NW - M6'!D29&gt;=0,'NW - M6'!D29))</f>
        <v>0</v>
      </c>
      <c r="Q40" s="206" t="str">
        <f t="shared" si="7"/>
        <v/>
      </c>
      <c r="R40" s="250">
        <f t="shared" si="8"/>
        <v>0</v>
      </c>
      <c r="S40" s="249">
        <f>IF('NW - M6'!F29=0,0,IF('NW - M6'!F29&gt;=0,'NW - M6'!F29))</f>
        <v>0</v>
      </c>
      <c r="T40" s="206" t="str">
        <f t="shared" si="9"/>
        <v/>
      </c>
      <c r="U40" s="250">
        <f t="shared" si="10"/>
        <v>0</v>
      </c>
      <c r="V40" s="249">
        <f>IF('NW - M6'!E29=0,0,IF('NW - M6'!E29&gt;=0,'NW - M6'!E29))</f>
        <v>0</v>
      </c>
      <c r="W40" s="206" t="str">
        <f t="shared" si="11"/>
        <v/>
      </c>
      <c r="X40" s="250">
        <f t="shared" si="12"/>
        <v>0</v>
      </c>
      <c r="Y40" s="249">
        <f>IF('NW - M6'!I29=0,0,IF('NW - M6'!I29&gt;=0,'NW - M6'!I29))</f>
        <v>0</v>
      </c>
      <c r="Z40" s="206" t="str">
        <f t="shared" si="13"/>
        <v/>
      </c>
      <c r="AA40" s="250">
        <f t="shared" si="14"/>
        <v>0</v>
      </c>
      <c r="AB40" s="249">
        <f>IF('NW - M6'!H29=0,0,IF('NW - M6'!H29&gt;=0,'NW - M6'!H29))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E5'!C41="","",IF('RIO - E5'!C41&gt;"",'RIO - E5'!C41))</f>
        <v/>
      </c>
      <c r="D41" s="149" t="str">
        <f>IF('NW - M6'!N30="","",IF('NW - M6'!N30="A+","A",IF('NW - M6'!N30="A","A",IF('NW - M6'!N30="B","B",IF('NW - M6'!N30="C","C",IF('NW - M6'!N30="C-","C",IF('NW - M6'!N30="D","D",IF('NW - M6'!N30="E","E"))))))))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M6'!D30=0,0,IF('NW - M6'!D30&gt;=0,'NW - M6'!D30))</f>
        <v>0</v>
      </c>
      <c r="Q41" s="206" t="str">
        <f t="shared" si="7"/>
        <v/>
      </c>
      <c r="R41" s="250">
        <f t="shared" si="8"/>
        <v>0</v>
      </c>
      <c r="S41" s="249">
        <f>IF('NW - M6'!F30=0,0,IF('NW - M6'!F30&gt;=0,'NW - M6'!F30))</f>
        <v>0</v>
      </c>
      <c r="T41" s="206" t="str">
        <f t="shared" si="9"/>
        <v/>
      </c>
      <c r="U41" s="250">
        <f t="shared" si="10"/>
        <v>0</v>
      </c>
      <c r="V41" s="249">
        <f>IF('NW - M6'!E30=0,0,IF('NW - M6'!E30&gt;=0,'NW - M6'!E30))</f>
        <v>0</v>
      </c>
      <c r="W41" s="206" t="str">
        <f t="shared" si="11"/>
        <v/>
      </c>
      <c r="X41" s="250">
        <f t="shared" si="12"/>
        <v>0</v>
      </c>
      <c r="Y41" s="249">
        <f>IF('NW - M6'!I30=0,0,IF('NW - M6'!I30&gt;=0,'NW - M6'!I30))</f>
        <v>0</v>
      </c>
      <c r="Z41" s="206" t="str">
        <f t="shared" si="13"/>
        <v/>
      </c>
      <c r="AA41" s="250">
        <f t="shared" si="14"/>
        <v>0</v>
      </c>
      <c r="AB41" s="249">
        <f>IF('NW - M6'!H30=0,0,IF('NW - M6'!H30&gt;=0,'NW - M6'!H30))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E5'!C42="","",IF('RIO - E5'!C42&gt;"",'RIO - E5'!C42))</f>
        <v/>
      </c>
      <c r="D42" s="149" t="str">
        <f>IF('NW - M6'!N31="","",IF('NW - M6'!N31="A+","A",IF('NW - M6'!N31="A","A",IF('NW - M6'!N31="B","B",IF('NW - M6'!N31="C","C",IF('NW - M6'!N31="C-","C",IF('NW - M6'!N31="D","D",IF('NW - M6'!N31="E","E"))))))))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M6'!D31=0,0,IF('NW - M6'!D31&gt;=0,'NW - M6'!D31))</f>
        <v>0</v>
      </c>
      <c r="Q42" s="206" t="str">
        <f t="shared" si="7"/>
        <v/>
      </c>
      <c r="R42" s="250">
        <f t="shared" si="8"/>
        <v>0</v>
      </c>
      <c r="S42" s="249">
        <f>IF('NW - M6'!F31=0,0,IF('NW - M6'!F31&gt;=0,'NW - M6'!F31))</f>
        <v>0</v>
      </c>
      <c r="T42" s="206" t="str">
        <f t="shared" si="9"/>
        <v/>
      </c>
      <c r="U42" s="250">
        <f t="shared" si="10"/>
        <v>0</v>
      </c>
      <c r="V42" s="249">
        <f>IF('NW - M6'!E31=0,0,IF('NW - M6'!E31&gt;=0,'NW - M6'!E31))</f>
        <v>0</v>
      </c>
      <c r="W42" s="206" t="str">
        <f t="shared" si="11"/>
        <v/>
      </c>
      <c r="X42" s="250">
        <f t="shared" si="12"/>
        <v>0</v>
      </c>
      <c r="Y42" s="249">
        <f>IF('NW - M6'!I31=0,0,IF('NW - M6'!I31&gt;=0,'NW - M6'!I31))</f>
        <v>0</v>
      </c>
      <c r="Z42" s="206" t="str">
        <f t="shared" si="13"/>
        <v/>
      </c>
      <c r="AA42" s="250">
        <f t="shared" si="14"/>
        <v>0</v>
      </c>
      <c r="AB42" s="249">
        <f>IF('NW - M6'!H31=0,0,IF('NW - M6'!H31&gt;=0,'NW - M6'!H31))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E5'!C43="","",IF('RIO - E5'!C43&gt;"",'RIO - E5'!C43))</f>
        <v/>
      </c>
      <c r="D43" s="149" t="str">
        <f>IF('NW - M6'!N32="","",IF('NW - M6'!N32="A+","A",IF('NW - M6'!N32="A","A",IF('NW - M6'!N32="B","B",IF('NW - M6'!N32="C","C",IF('NW - M6'!N32="C-","C",IF('NW - M6'!N32="D","D",IF('NW - M6'!N32="E","E"))))))))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M6'!D32=0,0,IF('NW - M6'!D32&gt;=0,'NW - M6'!D32))</f>
        <v>0</v>
      </c>
      <c r="Q43" s="206" t="str">
        <f t="shared" si="7"/>
        <v/>
      </c>
      <c r="R43" s="250">
        <f t="shared" si="8"/>
        <v>0</v>
      </c>
      <c r="S43" s="249">
        <f>IF('NW - M6'!F32=0,0,IF('NW - M6'!F32&gt;=0,'NW - M6'!F32))</f>
        <v>0</v>
      </c>
      <c r="T43" s="206" t="str">
        <f t="shared" si="9"/>
        <v/>
      </c>
      <c r="U43" s="250">
        <f t="shared" si="10"/>
        <v>0</v>
      </c>
      <c r="V43" s="249">
        <f>IF('NW - M6'!E32=0,0,IF('NW - M6'!E32&gt;=0,'NW - M6'!E32))</f>
        <v>0</v>
      </c>
      <c r="W43" s="206" t="str">
        <f t="shared" si="11"/>
        <v/>
      </c>
      <c r="X43" s="250">
        <f t="shared" si="12"/>
        <v>0</v>
      </c>
      <c r="Y43" s="249">
        <f>IF('NW - M6'!I32=0,0,IF('NW - M6'!I32&gt;=0,'NW - M6'!I32))</f>
        <v>0</v>
      </c>
      <c r="Z43" s="206" t="str">
        <f t="shared" si="13"/>
        <v/>
      </c>
      <c r="AA43" s="250">
        <f t="shared" si="14"/>
        <v>0</v>
      </c>
      <c r="AB43" s="249">
        <f>IF('NW - M6'!H32=0,0,IF('NW - M6'!H32&gt;=0,'NW - M6'!H32))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E5'!C44="","",IF('RIO - E5'!C44&gt;"",'RIO - E5'!C44))</f>
        <v/>
      </c>
      <c r="D44" s="149" t="str">
        <f>IF('NW - M6'!N33="","",IF('NW - M6'!N33="A+","A",IF('NW - M6'!N33="A","A",IF('NW - M6'!N33="B","B",IF('NW - M6'!N33="C","C",IF('NW - M6'!N33="C-","C",IF('NW - M6'!N33="D","D",IF('NW - M6'!N33="E","E"))))))))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M6'!D33=0,0,IF('NW - M6'!D33&gt;=0,'NW - M6'!D33))</f>
        <v>0</v>
      </c>
      <c r="Q44" s="206" t="str">
        <f t="shared" si="7"/>
        <v/>
      </c>
      <c r="R44" s="250">
        <f t="shared" si="8"/>
        <v>0</v>
      </c>
      <c r="S44" s="249">
        <f>IF('NW - M6'!F33=0,0,IF('NW - M6'!F33&gt;=0,'NW - M6'!F33))</f>
        <v>0</v>
      </c>
      <c r="T44" s="206" t="str">
        <f t="shared" si="9"/>
        <v/>
      </c>
      <c r="U44" s="250">
        <f t="shared" si="10"/>
        <v>0</v>
      </c>
      <c r="V44" s="249">
        <f>IF('NW - M6'!E33=0,0,IF('NW - M6'!E33&gt;=0,'NW - M6'!E33))</f>
        <v>0</v>
      </c>
      <c r="W44" s="206" t="str">
        <f t="shared" si="11"/>
        <v/>
      </c>
      <c r="X44" s="250">
        <f t="shared" si="12"/>
        <v>0</v>
      </c>
      <c r="Y44" s="249">
        <f>IF('NW - M6'!I33=0,0,IF('NW - M6'!I33&gt;=0,'NW - M6'!I33))</f>
        <v>0</v>
      </c>
      <c r="Z44" s="206" t="str">
        <f t="shared" si="13"/>
        <v/>
      </c>
      <c r="AA44" s="250">
        <f t="shared" si="14"/>
        <v>0</v>
      </c>
      <c r="AB44" s="249">
        <f>IF('NW - M6'!H33=0,0,IF('NW - M6'!H33&gt;=0,'NW - M6'!H33))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t="b">
        <f>IF($J$1=5,3,IF($J$1="5A",3,IF($J$1="5B",3,IF($J$1="5C",3))))</f>
        <v>0</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E5'!C45="","",IF('RIO - E5'!C45&gt;"",'RIO - E5'!C45))</f>
        <v/>
      </c>
      <c r="D45" s="149" t="str">
        <f>IF('NW - M6'!N34="","",IF('NW - M6'!N34="A+","A",IF('NW - M6'!N34="A","A",IF('NW - M6'!N34="B","B",IF('NW - M6'!N34="C","C",IF('NW - M6'!N34="C-","C",IF('NW - M6'!N34="D","D",IF('NW - M6'!N34="E","E"))))))))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M6'!D34=0,0,IF('NW - M6'!D34&gt;=0,'NW - M6'!D34))</f>
        <v>0</v>
      </c>
      <c r="Q45" s="206" t="str">
        <f t="shared" si="7"/>
        <v/>
      </c>
      <c r="R45" s="250">
        <f t="shared" si="8"/>
        <v>0</v>
      </c>
      <c r="S45" s="249">
        <f>IF('NW - M6'!F34=0,0,IF('NW - M6'!F34&gt;=0,'NW - M6'!F34))</f>
        <v>0</v>
      </c>
      <c r="T45" s="206" t="str">
        <f t="shared" si="9"/>
        <v/>
      </c>
      <c r="U45" s="250">
        <f t="shared" si="10"/>
        <v>0</v>
      </c>
      <c r="V45" s="249">
        <f>IF('NW - M6'!E34=0,0,IF('NW - M6'!E34&gt;=0,'NW - M6'!E34))</f>
        <v>0</v>
      </c>
      <c r="W45" s="206" t="str">
        <f t="shared" si="11"/>
        <v/>
      </c>
      <c r="X45" s="250">
        <f t="shared" si="12"/>
        <v>0</v>
      </c>
      <c r="Y45" s="249">
        <f>IF('NW - M6'!I34=0,0,IF('NW - M6'!I34&gt;=0,'NW - M6'!I34))</f>
        <v>0</v>
      </c>
      <c r="Z45" s="206" t="str">
        <f t="shared" si="13"/>
        <v/>
      </c>
      <c r="AA45" s="250">
        <f t="shared" si="14"/>
        <v>0</v>
      </c>
      <c r="AB45" s="249">
        <f>IF('NW - M6'!H34=0,0,IF('NW - M6'!H34&gt;=0,'NW - M6'!H34))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f>IF($J$1=6,4,IF($J$1="6A",4,IF($J$1="6B",4,IF($J$1="6C",4))))</f>
        <v>4</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E5'!C46="","",IF('RIO - E5'!C46&gt;"",'RIO - E5'!C46))</f>
        <v/>
      </c>
      <c r="D46" s="149" t="str">
        <f>IF('NW - M6'!N35="","",IF('NW - M6'!N35="A+","A",IF('NW - M6'!N35="A","A",IF('NW - M6'!N35="B","B",IF('NW - M6'!N35="C","C",IF('NW - M6'!N35="C-","C",IF('NW - M6'!N35="D","D",IF('NW - M6'!N35="E","E"))))))))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M6'!D35=0,0,IF('NW - M6'!D35&gt;=0,'NW - M6'!D35))</f>
        <v>0</v>
      </c>
      <c r="Q46" s="206" t="str">
        <f t="shared" si="7"/>
        <v/>
      </c>
      <c r="R46" s="250">
        <f t="shared" si="8"/>
        <v>0</v>
      </c>
      <c r="S46" s="249">
        <f>IF('NW - M6'!F35=0,0,IF('NW - M6'!F35&gt;=0,'NW - M6'!F35))</f>
        <v>0</v>
      </c>
      <c r="T46" s="206" t="str">
        <f t="shared" si="9"/>
        <v/>
      </c>
      <c r="U46" s="250">
        <f t="shared" si="10"/>
        <v>0</v>
      </c>
      <c r="V46" s="249">
        <f>IF('NW - M6'!E35=0,0,IF('NW - M6'!E35&gt;=0,'NW - M6'!E35))</f>
        <v>0</v>
      </c>
      <c r="W46" s="206" t="str">
        <f t="shared" si="11"/>
        <v/>
      </c>
      <c r="X46" s="250">
        <f t="shared" si="12"/>
        <v>0</v>
      </c>
      <c r="Y46" s="249">
        <f>IF('NW - M6'!I35=0,0,IF('NW - M6'!I35&gt;=0,'NW - M6'!I35))</f>
        <v>0</v>
      </c>
      <c r="Z46" s="206" t="str">
        <f t="shared" si="13"/>
        <v/>
      </c>
      <c r="AA46" s="250">
        <f t="shared" si="14"/>
        <v>0</v>
      </c>
      <c r="AB46" s="249">
        <f>IF('NW - M6'!H35=0,0,IF('NW - M6'!H35&gt;=0,'NW - M6'!H35))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t="b">
        <f>IF($J$1=7,5,IF($J$1="7A",5,IF($J$1="7B",5,IF($J$1="7C",5))))</f>
        <v>0</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E5'!C47="","",IF('RIO - E5'!C47&gt;"",'RIO - E5'!C47))</f>
        <v/>
      </c>
      <c r="D47" s="149" t="str">
        <f>IF('NW - M6'!N36="","",IF('NW - M6'!N36="A+","A",IF('NW - M6'!N36="A","A",IF('NW - M6'!N36="B","B",IF('NW - M6'!N36="C","C",IF('NW - M6'!N36="C-","C",IF('NW - M6'!N36="D","D",IF('NW - M6'!N36="E","E"))))))))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M6'!D36=0,0,IF('NW - M6'!D36&gt;=0,'NW - M6'!D36))</f>
        <v>0</v>
      </c>
      <c r="Q47" s="206" t="str">
        <f t="shared" si="7"/>
        <v/>
      </c>
      <c r="R47" s="250">
        <f t="shared" si="8"/>
        <v>0</v>
      </c>
      <c r="S47" s="249">
        <f>IF('NW - M6'!F36=0,0,IF('NW - M6'!F36&gt;=0,'NW - M6'!F36))</f>
        <v>0</v>
      </c>
      <c r="T47" s="206" t="str">
        <f t="shared" si="9"/>
        <v/>
      </c>
      <c r="U47" s="250">
        <f t="shared" si="10"/>
        <v>0</v>
      </c>
      <c r="V47" s="249">
        <f>IF('NW - M6'!E36=0,0,IF('NW - M6'!E36&gt;=0,'NW - M6'!E36))</f>
        <v>0</v>
      </c>
      <c r="W47" s="206" t="str">
        <f t="shared" si="11"/>
        <v/>
      </c>
      <c r="X47" s="250">
        <f t="shared" si="12"/>
        <v>0</v>
      </c>
      <c r="Y47" s="249">
        <f>IF('NW - M6'!I36=0,0,IF('NW - M6'!I36&gt;=0,'NW - M6'!I36))</f>
        <v>0</v>
      </c>
      <c r="Z47" s="206" t="str">
        <f t="shared" si="13"/>
        <v/>
      </c>
      <c r="AA47" s="250">
        <f t="shared" si="14"/>
        <v>0</v>
      </c>
      <c r="AB47" s="249">
        <f>IF('NW - M6'!H36=0,0,IF('NW - M6'!H36&gt;=0,'NW - M6'!H36))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E5'!C48="","",IF('RIO - E5'!C48&gt;"",'RIO - E5'!C48))</f>
        <v/>
      </c>
      <c r="D48" s="149" t="str">
        <f>IF('NW - M6'!N37="","",IF('NW - M6'!N37="A+","A",IF('NW - M6'!N37="A","A",IF('NW - M6'!N37="B","B",IF('NW - M6'!N37="C","C",IF('NW - M6'!N37="C-","C",IF('NW - M6'!N37="D","D",IF('NW - M6'!N37="E","E"))))))))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M6'!D37=0,0,IF('NW - M6'!D37&gt;=0,'NW - M6'!D37))</f>
        <v>0</v>
      </c>
      <c r="Q48" s="206" t="str">
        <f t="shared" si="7"/>
        <v/>
      </c>
      <c r="R48" s="250">
        <f t="shared" si="8"/>
        <v>0</v>
      </c>
      <c r="S48" s="249">
        <f>IF('NW - M6'!F37=0,0,IF('NW - M6'!F37&gt;=0,'NW - M6'!F37))</f>
        <v>0</v>
      </c>
      <c r="T48" s="206" t="str">
        <f t="shared" si="9"/>
        <v/>
      </c>
      <c r="U48" s="250">
        <f t="shared" si="10"/>
        <v>0</v>
      </c>
      <c r="V48" s="249">
        <f>IF('NW - M6'!E37=0,0,IF('NW - M6'!E37&gt;=0,'NW - M6'!E37))</f>
        <v>0</v>
      </c>
      <c r="W48" s="206" t="str">
        <f t="shared" si="11"/>
        <v/>
      </c>
      <c r="X48" s="250">
        <f t="shared" si="12"/>
        <v>0</v>
      </c>
      <c r="Y48" s="249">
        <f>IF('NW - M6'!I37=0,0,IF('NW - M6'!I37&gt;=0,'NW - M6'!I37))</f>
        <v>0</v>
      </c>
      <c r="Z48" s="206" t="str">
        <f t="shared" si="13"/>
        <v/>
      </c>
      <c r="AA48" s="250">
        <f t="shared" si="14"/>
        <v>0</v>
      </c>
      <c r="AB48" s="249">
        <f>IF('NW - M6'!H37=0,0,IF('NW - M6'!H37&gt;=0,'NW - M6'!H37))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E5'!C49="","",IF('RIO - E5'!C49&gt;"",'RIO - E5'!C49))</f>
        <v/>
      </c>
      <c r="D49" s="149" t="str">
        <f>IF('NW - M6'!N38="","",IF('NW - M6'!N38="A+","A",IF('NW - M6'!N38="A","A",IF('NW - M6'!N38="B","B",IF('NW - M6'!N38="C","C",IF('NW - M6'!N38="C-","C",IF('NW - M6'!N38="D","D",IF('NW - M6'!N38="E","E"))))))))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M6'!D38=0,0,IF('NW - M6'!D38&gt;=0,'NW - M6'!D38))</f>
        <v>0</v>
      </c>
      <c r="Q49" s="206" t="str">
        <f t="shared" si="7"/>
        <v/>
      </c>
      <c r="R49" s="250">
        <f t="shared" si="8"/>
        <v>0</v>
      </c>
      <c r="S49" s="249">
        <f>IF('NW - M6'!F38=0,0,IF('NW - M6'!F38&gt;=0,'NW - M6'!F38))</f>
        <v>0</v>
      </c>
      <c r="T49" s="206" t="str">
        <f t="shared" si="9"/>
        <v/>
      </c>
      <c r="U49" s="250">
        <f t="shared" si="10"/>
        <v>0</v>
      </c>
      <c r="V49" s="249">
        <f>IF('NW - M6'!E38=0,0,IF('NW - M6'!E38&gt;=0,'NW - M6'!E38))</f>
        <v>0</v>
      </c>
      <c r="W49" s="206" t="str">
        <f t="shared" si="11"/>
        <v/>
      </c>
      <c r="X49" s="250">
        <f t="shared" si="12"/>
        <v>0</v>
      </c>
      <c r="Y49" s="249">
        <f>IF('NW - M6'!I38=0,0,IF('NW - M6'!I38&gt;=0,'NW - M6'!I38))</f>
        <v>0</v>
      </c>
      <c r="Z49" s="206" t="str">
        <f t="shared" si="13"/>
        <v/>
      </c>
      <c r="AA49" s="250">
        <f t="shared" si="14"/>
        <v>0</v>
      </c>
      <c r="AB49" s="249">
        <f>IF('NW - M6'!H38=0,0,IF('NW - M6'!H38&gt;=0,'NW - M6'!H38))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E5'!C50="","",IF('RIO - E5'!C50&gt;"",'RIO - E5'!C50))</f>
        <v/>
      </c>
      <c r="D50" s="149" t="str">
        <f>IF('NW - M6'!N39="","",IF('NW - M6'!N39="A+","A",IF('NW - M6'!N39="A","A",IF('NW - M6'!N39="B","B",IF('NW - M6'!N39="C","C",IF('NW - M6'!N39="C-","C",IF('NW - M6'!N39="D","D",IF('NW - M6'!N39="E","E"))))))))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M6'!D39=0,0,IF('NW - M6'!D39&gt;=0,'NW - M6'!D39))</f>
        <v>0</v>
      </c>
      <c r="Q50" s="206" t="str">
        <f t="shared" si="7"/>
        <v/>
      </c>
      <c r="R50" s="250">
        <f t="shared" si="8"/>
        <v>0</v>
      </c>
      <c r="S50" s="249">
        <f>IF('NW - M6'!F39=0,0,IF('NW - M6'!F39&gt;=0,'NW - M6'!F39))</f>
        <v>0</v>
      </c>
      <c r="T50" s="206" t="str">
        <f t="shared" si="9"/>
        <v/>
      </c>
      <c r="U50" s="250">
        <f t="shared" si="10"/>
        <v>0</v>
      </c>
      <c r="V50" s="249">
        <f>IF('NW - M6'!E39=0,0,IF('NW - M6'!E39&gt;=0,'NW - M6'!E39))</f>
        <v>0</v>
      </c>
      <c r="W50" s="206" t="str">
        <f t="shared" si="11"/>
        <v/>
      </c>
      <c r="X50" s="250">
        <f t="shared" si="12"/>
        <v>0</v>
      </c>
      <c r="Y50" s="249">
        <f>IF('NW - M6'!I39=0,0,IF('NW - M6'!I39&gt;=0,'NW - M6'!I39))</f>
        <v>0</v>
      </c>
      <c r="Z50" s="206" t="str">
        <f t="shared" si="13"/>
        <v/>
      </c>
      <c r="AA50" s="250">
        <f t="shared" si="14"/>
        <v>0</v>
      </c>
      <c r="AB50" s="249">
        <f>IF('NW - M6'!H39=0,0,IF('NW - M6'!H39&gt;=0,'NW - M6'!H39))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E5'!C51="","",IF('RIO - E5'!C51&gt;"",'RIO - E5'!C51))</f>
        <v/>
      </c>
      <c r="D51" s="149" t="str">
        <f>IF('NW - M6'!N40="","",IF('NW - M6'!N40="A+","A",IF('NW - M6'!N40="A","A",IF('NW - M6'!N40="B","B",IF('NW - M6'!N40="C","C",IF('NW - M6'!N40="C-","C",IF('NW - M6'!N40="D","D",IF('NW - M6'!N40="E","E"))))))))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M6'!D40=0,0,IF('NW - M6'!D40&gt;=0,'NW - M6'!D40))</f>
        <v>0</v>
      </c>
      <c r="Q51" s="206" t="str">
        <f t="shared" si="7"/>
        <v/>
      </c>
      <c r="R51" s="250">
        <f t="shared" si="8"/>
        <v>0</v>
      </c>
      <c r="S51" s="249">
        <f>IF('NW - M6'!F40=0,0,IF('NW - M6'!F40&gt;=0,'NW - M6'!F40))</f>
        <v>0</v>
      </c>
      <c r="T51" s="206" t="str">
        <f t="shared" si="9"/>
        <v/>
      </c>
      <c r="U51" s="250">
        <f t="shared" si="10"/>
        <v>0</v>
      </c>
      <c r="V51" s="249">
        <f>IF('NW - M6'!E40=0,0,IF('NW - M6'!E40&gt;=0,'NW - M6'!E40))</f>
        <v>0</v>
      </c>
      <c r="W51" s="206" t="str">
        <f t="shared" si="11"/>
        <v/>
      </c>
      <c r="X51" s="250">
        <f t="shared" si="12"/>
        <v>0</v>
      </c>
      <c r="Y51" s="249">
        <f>IF('NW - M6'!I40=0,0,IF('NW - M6'!I40&gt;=0,'NW - M6'!I40))</f>
        <v>0</v>
      </c>
      <c r="Z51" s="206" t="str">
        <f t="shared" si="13"/>
        <v/>
      </c>
      <c r="AA51" s="250">
        <f t="shared" si="14"/>
        <v>0</v>
      </c>
      <c r="AB51" s="249">
        <f>IF('NW - M6'!H40=0,0,IF('NW - M6'!H40&gt;=0,'NW - M6'!H40))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E5'!C52="","",IF('RIO - E5'!C52&gt;"",'RIO - E5'!C52))</f>
        <v/>
      </c>
      <c r="D52" s="149" t="str">
        <f>IF('NW - M6'!N41="","",IF('NW - M6'!N41="A+","A",IF('NW - M6'!N41="A","A",IF('NW - M6'!N41="B","B",IF('NW - M6'!N41="C","C",IF('NW - M6'!N41="C-","C",IF('NW - M6'!N41="D","D",IF('NW - M6'!N41="E","E"))))))))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M6'!D41=0,0,IF('NW - M6'!D41&gt;=0,'NW - M6'!D41))</f>
        <v>0</v>
      </c>
      <c r="Q52" s="207" t="str">
        <f t="shared" si="7"/>
        <v/>
      </c>
      <c r="R52" s="250">
        <f t="shared" si="8"/>
        <v>0</v>
      </c>
      <c r="S52" s="249">
        <f>IF('NW - M6'!F41=0,0,IF('NW - M6'!F41&gt;=0,'NW - M6'!F41))</f>
        <v>0</v>
      </c>
      <c r="T52" s="207" t="str">
        <f t="shared" si="9"/>
        <v/>
      </c>
      <c r="U52" s="250">
        <f t="shared" si="10"/>
        <v>0</v>
      </c>
      <c r="V52" s="249">
        <f>IF('NW - M6'!E41=0,0,IF('NW - M6'!E41&gt;=0,'NW - M6'!E41))</f>
        <v>0</v>
      </c>
      <c r="W52" s="207" t="str">
        <f t="shared" si="11"/>
        <v/>
      </c>
      <c r="X52" s="250">
        <f t="shared" si="12"/>
        <v>0</v>
      </c>
      <c r="Y52" s="249">
        <f>IF('NW - M6'!I41=0,0,IF('NW - M6'!I41&gt;=0,'NW - M6'!I41))</f>
        <v>0</v>
      </c>
      <c r="Z52" s="207" t="str">
        <f t="shared" si="13"/>
        <v/>
      </c>
      <c r="AA52" s="250">
        <f t="shared" si="14"/>
        <v>0</v>
      </c>
      <c r="AB52" s="249">
        <f>IF('NW - M6'!H41=0,0,IF('NW - M6'!H41&gt;=0,'NW - M6'!H41))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3</v>
      </c>
      <c r="C53" s="341" t="s">
        <v>76</v>
      </c>
      <c r="D53" s="342"/>
      <c r="E53" s="342"/>
      <c r="F53" s="342"/>
      <c r="G53" s="342"/>
      <c r="H53" s="342"/>
      <c r="I53" s="342"/>
      <c r="J53" s="342"/>
      <c r="K53" s="342"/>
      <c r="L53" s="342"/>
      <c r="M53" s="342"/>
      <c r="N53" s="343"/>
      <c r="O53" s="347">
        <f>IF(AD53=0,0,IF(AD53&gt;0,AD54))</f>
        <v>0.66666666666666663</v>
      </c>
      <c r="P53" s="348"/>
      <c r="Q53" s="349"/>
      <c r="R53" s="350">
        <f>IF(AE53=0,0,IF(AE53&gt;0,AE54))</f>
        <v>1</v>
      </c>
      <c r="S53" s="348"/>
      <c r="T53" s="349"/>
      <c r="U53" s="350">
        <f>IF(AF53=0,0,IF(AF53&gt;0,AF54))</f>
        <v>1</v>
      </c>
      <c r="V53" s="348"/>
      <c r="W53" s="351"/>
      <c r="X53" s="347">
        <f>IF(AG53=0,0,IF(AG53&gt;0,AG54))</f>
        <v>0.66666666666666663</v>
      </c>
      <c r="Y53" s="348"/>
      <c r="Z53" s="349"/>
      <c r="AA53" s="350">
        <f>IF(AH53=0,0,IF(AH53&gt;0,AH54))</f>
        <v>0.66666666666666663</v>
      </c>
      <c r="AB53" s="348"/>
      <c r="AC53" s="351"/>
      <c r="AD53" s="173">
        <f>SUM(AD17:AD52)</f>
        <v>2</v>
      </c>
      <c r="AE53" s="126">
        <f>SUM(AE17:AE52)</f>
        <v>3</v>
      </c>
      <c r="AF53" s="126">
        <f>SUM(AF17:AF52)</f>
        <v>3</v>
      </c>
      <c r="AG53" s="126">
        <f>SUM(AG17:AG52)</f>
        <v>2</v>
      </c>
      <c r="AH53" s="126">
        <f>SUM(AH17:AH52)</f>
        <v>2</v>
      </c>
      <c r="AI53" s="127">
        <f>SUM(AV17:AV52)</f>
        <v>2.4000000000000004</v>
      </c>
      <c r="AJ53" s="127">
        <f t="shared" ref="AJ53:AS53" si="42">SUM(AJ17:AJ52)</f>
        <v>0</v>
      </c>
      <c r="AK53" s="127">
        <f t="shared" si="42"/>
        <v>0</v>
      </c>
      <c r="AL53" s="127">
        <f t="shared" si="42"/>
        <v>1.8</v>
      </c>
      <c r="AM53" s="127">
        <f t="shared" si="42"/>
        <v>0.6</v>
      </c>
      <c r="AN53" s="127">
        <f t="shared" si="42"/>
        <v>0</v>
      </c>
      <c r="AO53" s="127">
        <f t="shared" si="42"/>
        <v>0</v>
      </c>
      <c r="AP53" s="127">
        <f t="shared" si="42"/>
        <v>0</v>
      </c>
      <c r="AQ53" s="127">
        <f t="shared" si="42"/>
        <v>0</v>
      </c>
      <c r="AR53" s="127">
        <f t="shared" si="42"/>
        <v>0</v>
      </c>
      <c r="AS53" s="127">
        <f t="shared" si="42"/>
        <v>0</v>
      </c>
      <c r="AT53" s="146"/>
      <c r="AU53" s="147"/>
      <c r="AV53" s="128">
        <f>IF(AI53=0,"",IF(AI53&gt;0,$AI$54))</f>
        <v>0.80000000000000016</v>
      </c>
      <c r="AW53" s="129" t="str">
        <f>IF(AW54=0,"",IF(AW54&gt;0,AW54/AX54))</f>
        <v/>
      </c>
      <c r="AX53" s="1">
        <f>SUM(AX42:AX52)</f>
        <v>4</v>
      </c>
      <c r="AY53" s="130" t="str">
        <f>IF(L54=0,"",IF(L54&gt;0,AY54/L54))</f>
        <v/>
      </c>
      <c r="AZ53" s="131">
        <f>IF(B53=0,"",IF(B53&gt;0,AZ55/B53))</f>
        <v>1</v>
      </c>
      <c r="BA53" s="132"/>
      <c r="BB53" s="133" t="str">
        <f>IF(BD53=0,"",IF(BD53&gt;0,BD53/BB54))</f>
        <v/>
      </c>
      <c r="BC53" s="132"/>
      <c r="BD53" s="132">
        <f>SUM(BD17:BD52)</f>
        <v>0</v>
      </c>
      <c r="BE53" s="133" t="str">
        <f>IF(BG53=0,"",IF(BG53&gt;0,BG53/BE54))</f>
        <v/>
      </c>
      <c r="BF53" s="31"/>
      <c r="BG53" s="134">
        <f>SUM(BG17:BG52)</f>
        <v>0</v>
      </c>
    </row>
    <row r="54" spans="1:59" x14ac:dyDescent="0.2">
      <c r="B54" s="143">
        <f>COUNTIF(B17:B52,0)</f>
        <v>33</v>
      </c>
      <c r="C54" s="5"/>
      <c r="D54" s="5"/>
      <c r="E54" s="5"/>
      <c r="F54" s="5"/>
      <c r="G54" s="5"/>
      <c r="H54" s="5"/>
      <c r="I54" s="5"/>
      <c r="L54" s="5">
        <f>COUNTA(L17:L52)</f>
        <v>0</v>
      </c>
      <c r="M54" s="5">
        <f>COUNTA(M17:M52)</f>
        <v>0</v>
      </c>
      <c r="O54" s="332" t="s">
        <v>35</v>
      </c>
      <c r="P54" s="333"/>
      <c r="Q54" s="333"/>
      <c r="R54" s="333"/>
      <c r="S54" s="333"/>
      <c r="T54" s="333"/>
      <c r="U54" s="333"/>
      <c r="V54" s="333"/>
      <c r="W54" s="334"/>
      <c r="X54" s="338" t="s">
        <v>36</v>
      </c>
      <c r="Y54" s="339"/>
      <c r="Z54" s="339"/>
      <c r="AA54" s="339"/>
      <c r="AB54" s="339"/>
      <c r="AC54" s="340"/>
      <c r="AD54" s="135">
        <f t="shared" ref="AD54:AI54" si="43">AD53/AD56</f>
        <v>0.66666666666666663</v>
      </c>
      <c r="AE54" s="135">
        <f t="shared" si="43"/>
        <v>1</v>
      </c>
      <c r="AF54" s="135">
        <f t="shared" si="43"/>
        <v>1</v>
      </c>
      <c r="AG54" s="135">
        <f t="shared" si="43"/>
        <v>0.66666666666666663</v>
      </c>
      <c r="AH54" s="135">
        <f t="shared" si="43"/>
        <v>0.66666666666666663</v>
      </c>
      <c r="AI54" s="135">
        <f t="shared" si="43"/>
        <v>0.80000000000000016</v>
      </c>
      <c r="AJ54" s="106">
        <f t="shared" ref="AJ54:AS54" si="44">AJ53/10</f>
        <v>0</v>
      </c>
      <c r="AK54" s="106">
        <f t="shared" si="44"/>
        <v>0</v>
      </c>
      <c r="AL54" s="106">
        <f t="shared" si="44"/>
        <v>0.18</v>
      </c>
      <c r="AM54" s="106">
        <f t="shared" si="44"/>
        <v>0.06</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132</v>
      </c>
      <c r="AY54" s="136">
        <f>SUM(AY17:AY51)</f>
        <v>0</v>
      </c>
      <c r="AZ54" s="5">
        <f>COUNTA(AZ17:AZ52)</f>
        <v>0</v>
      </c>
      <c r="BA54" s="3"/>
      <c r="BB54" s="5">
        <f>COUNTA(BB17:BB52)</f>
        <v>0</v>
      </c>
      <c r="BC54" s="5"/>
      <c r="BD54" s="5"/>
      <c r="BE54" s="5">
        <f>COUNTA(BE17:BE52)</f>
        <v>0</v>
      </c>
      <c r="BF54" s="3"/>
      <c r="BG54" s="3"/>
    </row>
    <row r="55" spans="1:59" ht="13.5" thickBot="1" x14ac:dyDescent="0.25">
      <c r="L55" s="3"/>
      <c r="M55" s="3"/>
      <c r="O55" s="335">
        <f>IF(B54=0,"",IF(B54&gt;0,(O53+R53+U53)/3))</f>
        <v>0.88888888888888884</v>
      </c>
      <c r="P55" s="336"/>
      <c r="Q55" s="336"/>
      <c r="R55" s="336"/>
      <c r="S55" s="336"/>
      <c r="T55" s="336"/>
      <c r="U55" s="336"/>
      <c r="V55" s="336"/>
      <c r="W55" s="337"/>
      <c r="X55" s="335">
        <f>IF(B54=0,"",IF(B54&gt;0,(X53+AA53)/2))</f>
        <v>0.66666666666666663</v>
      </c>
      <c r="Y55" s="336"/>
      <c r="Z55" s="336"/>
      <c r="AA55" s="336"/>
      <c r="AB55" s="336"/>
      <c r="AC55" s="337"/>
      <c r="AD55" s="3">
        <f>COUNTIF(O17:O52,0)</f>
        <v>33</v>
      </c>
      <c r="AE55" s="3">
        <f>COUNTIF(R17:R52,0)</f>
        <v>33</v>
      </c>
      <c r="AF55" s="3">
        <f>COUNTIF(U17:U52,0)</f>
        <v>33</v>
      </c>
      <c r="AG55" s="3">
        <f>COUNTIF(X17:X52,0)</f>
        <v>33</v>
      </c>
      <c r="AH55" s="3">
        <f>COUNTIF(AA17:AA52,0)</f>
        <v>33</v>
      </c>
      <c r="AI55" s="3">
        <f>COUNTIF(AV17:AV52,"")</f>
        <v>33</v>
      </c>
      <c r="AJ55" s="106" t="e">
        <f>AJ53/K65*K67</f>
        <v>#DIV/0!</v>
      </c>
      <c r="AK55" s="106" t="e">
        <f>AK53/L65*L67</f>
        <v>#DIV/0!</v>
      </c>
      <c r="AL55" s="106">
        <f>AL53/M65*M67</f>
        <v>0.6</v>
      </c>
      <c r="AM55" s="106">
        <f>AM53/N65*N67</f>
        <v>0.19999999999999998</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3</v>
      </c>
      <c r="BA55" s="3"/>
      <c r="BB55" s="5"/>
      <c r="BC55" s="5"/>
      <c r="BD55" s="5"/>
      <c r="BE55" s="5"/>
      <c r="BF55" s="3"/>
      <c r="BG55" s="3"/>
    </row>
    <row r="56" spans="1:59" ht="20.25" thickBot="1" x14ac:dyDescent="0.45">
      <c r="B56" s="46" t="s">
        <v>7</v>
      </c>
      <c r="C56" s="174"/>
      <c r="D56" s="174"/>
      <c r="E56" s="174"/>
      <c r="F56" s="174"/>
      <c r="G56" s="174"/>
      <c r="H56" s="174"/>
      <c r="I56" s="174"/>
      <c r="J56" s="329">
        <f>J1</f>
        <v>6</v>
      </c>
      <c r="K56" s="330"/>
      <c r="L56" s="331"/>
      <c r="M56" s="32"/>
      <c r="O56" s="137"/>
      <c r="P56" s="137"/>
      <c r="Q56" s="137"/>
      <c r="R56" s="137"/>
      <c r="S56" s="137"/>
      <c r="T56" s="137"/>
      <c r="U56" s="137"/>
      <c r="V56" s="137"/>
      <c r="W56" s="137"/>
      <c r="X56" s="137"/>
      <c r="Y56" s="137"/>
      <c r="Z56" s="137"/>
      <c r="AA56" s="137"/>
      <c r="AB56" s="137"/>
      <c r="AC56" s="137"/>
      <c r="AD56" s="3">
        <f t="shared" ref="AD56:AI56" si="45">36-AD55</f>
        <v>3</v>
      </c>
      <c r="AE56" s="3">
        <f t="shared" si="45"/>
        <v>3</v>
      </c>
      <c r="AF56" s="3">
        <f t="shared" si="45"/>
        <v>3</v>
      </c>
      <c r="AG56" s="3">
        <f t="shared" si="45"/>
        <v>3</v>
      </c>
      <c r="AH56" s="3">
        <f t="shared" si="45"/>
        <v>3</v>
      </c>
      <c r="AI56" s="3">
        <f t="shared" si="45"/>
        <v>3</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0">
        <f>J2</f>
        <v>0</v>
      </c>
      <c r="K57" s="321"/>
      <c r="L57" s="322"/>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f>AD54</f>
        <v>0.66666666666666663</v>
      </c>
      <c r="K60" s="106">
        <f>AE54</f>
        <v>1</v>
      </c>
      <c r="L60" s="106">
        <f>AF54</f>
        <v>1</v>
      </c>
      <c r="M60" s="106">
        <f>AG54</f>
        <v>0.66666666666666663</v>
      </c>
      <c r="N60" s="106">
        <f>AH54</f>
        <v>0.66666666666666663</v>
      </c>
      <c r="O60" s="106">
        <f>$AV$53</f>
        <v>0.80000000000000016</v>
      </c>
      <c r="P60" s="140" t="str">
        <f>$AW$53</f>
        <v/>
      </c>
      <c r="Q60" s="106">
        <f>$AZ$53</f>
        <v>1</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2</v>
      </c>
      <c r="N65" s="1">
        <f>COUNTIF($J$17:$J$52,"D")</f>
        <v>1</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f>K65/$B$53</f>
        <v>0</v>
      </c>
      <c r="L67" s="106">
        <f>L65/$B$53</f>
        <v>0</v>
      </c>
      <c r="M67" s="106">
        <f>M65/$B$53</f>
        <v>0.66666666666666663</v>
      </c>
      <c r="N67" s="106">
        <f>N65/$B$53</f>
        <v>0.33333333333333331</v>
      </c>
      <c r="O67" s="106">
        <f>O65/$B$53</f>
        <v>0</v>
      </c>
      <c r="P67" s="106"/>
      <c r="Q67" s="106"/>
    </row>
    <row r="68" spans="10:17" x14ac:dyDescent="0.2">
      <c r="J68" s="142" t="s">
        <v>85</v>
      </c>
      <c r="K68" s="106" t="e">
        <f>AJ55</f>
        <v>#DIV/0!</v>
      </c>
      <c r="L68" s="106" t="e">
        <f>AK55</f>
        <v>#DIV/0!</v>
      </c>
      <c r="M68" s="106">
        <f>AL55</f>
        <v>0.6</v>
      </c>
      <c r="N68" s="106">
        <f>AM55</f>
        <v>0.19999999999999998</v>
      </c>
      <c r="O68" s="106" t="e">
        <f>AN55</f>
        <v>#DIV/0!</v>
      </c>
      <c r="P68" s="106"/>
      <c r="Q68" s="106"/>
    </row>
    <row r="69" spans="10:17" x14ac:dyDescent="0.2">
      <c r="J69" s="142" t="s">
        <v>86</v>
      </c>
      <c r="K69" s="106">
        <f>K66/$B$53</f>
        <v>0</v>
      </c>
      <c r="L69" s="106">
        <f>L66/$B$53</f>
        <v>0</v>
      </c>
      <c r="M69" s="106">
        <f>M66/$B$53</f>
        <v>0</v>
      </c>
      <c r="N69" s="106">
        <f>N66/$B$53</f>
        <v>0</v>
      </c>
      <c r="O69" s="106">
        <f>O66/$B$53</f>
        <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f>IF($E$6="ja",K67,IF($E6="nee",K69))</f>
        <v>0</v>
      </c>
      <c r="L71" s="106">
        <f>IF($E$6="ja",L67,IF($E6="nee",L69))</f>
        <v>0</v>
      </c>
      <c r="M71" s="106">
        <f>IF($E$6="ja",M67,IF($E6="nee",M69))</f>
        <v>0.66666666666666663</v>
      </c>
      <c r="N71" s="106">
        <f>IF($E$6="ja",N67,IF($E6="nee",N69))</f>
        <v>0.33333333333333331</v>
      </c>
      <c r="O71" s="106">
        <f>IF($E$6="ja",O67,IF($E6="nee",O69))</f>
        <v>0</v>
      </c>
      <c r="P71" s="106"/>
      <c r="Q71" s="106"/>
    </row>
    <row r="72" spans="10:17" x14ac:dyDescent="0.2">
      <c r="J72" s="142" t="s">
        <v>89</v>
      </c>
      <c r="K72" s="106" t="e">
        <f>IF($E$6="ja",K68,IF($E$6="nee",K70))</f>
        <v>#DIV/0!</v>
      </c>
      <c r="L72" s="106" t="e">
        <f>IF($E$6="ja",L68,IF($E$6="nee",L70))</f>
        <v>#DIV/0!</v>
      </c>
      <c r="M72" s="106">
        <f>IF($E$6="ja",M68,IF($E$6="nee",M70))</f>
        <v>0.6</v>
      </c>
      <c r="N72" s="106">
        <f>IF($E$6="ja",N68,IF($E$6="nee",N70))</f>
        <v>0.19999999999999998</v>
      </c>
      <c r="O72" s="106" t="e">
        <f>IF($E$6="ja",O68,IF($E$6="nee",O70))</f>
        <v>#DIV/0!</v>
      </c>
      <c r="P72" s="106"/>
      <c r="Q72" s="106"/>
    </row>
  </sheetData>
  <sheetProtection algorithmName="SHA-512" hashValue="YXr5HZ7+130YF/BosaScznfcQ1TXzd93hD4eYUQfP3TpZETiqh9QaaFYTzKfyrnfcWXU8SAn8v9d7TVR7Cq5+Q==" saltValue="2PXWlO8GRsV2Ae6ij0mL/A==" spinCount="100000" sheet="1" objects="1" scenarios="1"/>
  <mergeCells count="20">
    <mergeCell ref="R53:T53"/>
    <mergeCell ref="U53:W53"/>
    <mergeCell ref="X53:Z53"/>
    <mergeCell ref="AA53:AC53"/>
    <mergeCell ref="J57:L57"/>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s>
  <phoneticPr fontId="3" type="noConversion"/>
  <conditionalFormatting sqref="AZ17:AZ52">
    <cfRule type="cellIs" dxfId="593" priority="5" stopIfTrue="1" operator="equal">
      <formula>"x"</formula>
    </cfRule>
    <cfRule type="expression" dxfId="592" priority="6" stopIfTrue="1">
      <formula>$B17&gt;0</formula>
    </cfRule>
    <cfRule type="cellIs" dxfId="591" priority="7" stopIfTrue="1" operator="equal">
      <formula>""</formula>
    </cfRule>
  </conditionalFormatting>
  <conditionalFormatting sqref="BB17:BB52">
    <cfRule type="expression" dxfId="590" priority="8" stopIfTrue="1">
      <formula>$BC17=""</formula>
    </cfRule>
    <cfRule type="expression" dxfId="589" priority="9" stopIfTrue="1">
      <formula>$BC17&lt;$BA17</formula>
    </cfRule>
    <cfRule type="expression" dxfId="588" priority="10" stopIfTrue="1">
      <formula>$BC17&gt;=$BA17</formula>
    </cfRule>
  </conditionalFormatting>
  <conditionalFormatting sqref="BE17:BE52">
    <cfRule type="expression" dxfId="587" priority="11" stopIfTrue="1">
      <formula>$BF17=""</formula>
    </cfRule>
    <cfRule type="expression" dxfId="586" priority="12" stopIfTrue="1">
      <formula>$BF17&lt;$BC17</formula>
    </cfRule>
    <cfRule type="expression" dxfId="585" priority="13" stopIfTrue="1">
      <formula>$BF17&gt;=$BC17</formula>
    </cfRule>
  </conditionalFormatting>
  <conditionalFormatting sqref="E17:E52">
    <cfRule type="expression" dxfId="584" priority="17" stopIfTrue="1">
      <formula>$E17=""</formula>
    </cfRule>
    <cfRule type="expression" dxfId="583" priority="18" stopIfTrue="1">
      <formula>$E17&gt;$C17</formula>
    </cfRule>
    <cfRule type="expression" dxfId="582" priority="19" stopIfTrue="1">
      <formula>$E17&lt;$C17</formula>
    </cfRule>
  </conditionalFormatting>
  <conditionalFormatting sqref="B17:B52">
    <cfRule type="cellIs" dxfId="581" priority="20" stopIfTrue="1" operator="equal">
      <formula>""</formula>
    </cfRule>
    <cfRule type="cellIs" dxfId="580" priority="21" stopIfTrue="1" operator="equal">
      <formula>0</formula>
    </cfRule>
    <cfRule type="expression" dxfId="579" priority="22" stopIfTrue="1">
      <formula>$AV17&lt;0.8</formula>
    </cfRule>
  </conditionalFormatting>
  <conditionalFormatting sqref="E6:E7 J8:K8">
    <cfRule type="cellIs" dxfId="578" priority="23" stopIfTrue="1" operator="equal">
      <formula>"ja"</formula>
    </cfRule>
    <cfRule type="cellIs" dxfId="577" priority="24" stopIfTrue="1" operator="equal">
      <formula>"nee"</formula>
    </cfRule>
  </conditionalFormatting>
  <conditionalFormatting sqref="BA17:BA52 BG53 BA53:BE53">
    <cfRule type="expression" dxfId="576" priority="25" stopIfTrue="1">
      <formula>$U$2="ja"</formula>
    </cfRule>
    <cfRule type="expression" dxfId="575" priority="26" stopIfTrue="1">
      <formula>$X$2="ja"</formula>
    </cfRule>
  </conditionalFormatting>
  <conditionalFormatting sqref="BE10:BE12 BB10:BB12">
    <cfRule type="expression" dxfId="574" priority="27" stopIfTrue="1">
      <formula>$X$2="ja"</formula>
    </cfRule>
  </conditionalFormatting>
  <conditionalFormatting sqref="BC17:BD52 BF17:BG52">
    <cfRule type="expression" dxfId="573" priority="28" stopIfTrue="1">
      <formula>$X$2="ja"</formula>
    </cfRule>
  </conditionalFormatting>
  <conditionalFormatting sqref="AW53">
    <cfRule type="cellIs" dxfId="572" priority="29" stopIfTrue="1" operator="equal">
      <formula>""</formula>
    </cfRule>
    <cfRule type="cellIs" dxfId="571" priority="30" stopIfTrue="1" operator="greaterThan">
      <formula>0.03</formula>
    </cfRule>
  </conditionalFormatting>
  <conditionalFormatting sqref="AW17:AW52">
    <cfRule type="cellIs" dxfId="570" priority="31" stopIfTrue="1" operator="equal">
      <formula>1</formula>
    </cfRule>
    <cfRule type="cellIs" dxfId="569" priority="32" stopIfTrue="1" operator="equal">
      <formula>""</formula>
    </cfRule>
  </conditionalFormatting>
  <conditionalFormatting sqref="AY17:AY52">
    <cfRule type="cellIs" dxfId="568" priority="33" stopIfTrue="1" operator="equal">
      <formula>1</formula>
    </cfRule>
    <cfRule type="cellIs" dxfId="567" priority="34" stopIfTrue="1" operator="lessThan">
      <formula>1</formula>
    </cfRule>
    <cfRule type="cellIs" dxfId="566" priority="35" stopIfTrue="1" operator="equal">
      <formula>""</formula>
    </cfRule>
  </conditionalFormatting>
  <conditionalFormatting sqref="AV10:AV12">
    <cfRule type="cellIs" dxfId="565" priority="36" stopIfTrue="1" operator="equal">
      <formula>1</formula>
    </cfRule>
    <cfRule type="cellIs" dxfId="564" priority="37" stopIfTrue="1" operator="lessThan">
      <formula>1</formula>
    </cfRule>
  </conditionalFormatting>
  <conditionalFormatting sqref="N10:N12">
    <cfRule type="expression" dxfId="563" priority="38" stopIfTrue="1">
      <formula>$U$2="ja"</formula>
    </cfRule>
    <cfRule type="expression" dxfId="562" priority="39" stopIfTrue="1">
      <formula>$X$2="ja"</formula>
    </cfRule>
  </conditionalFormatting>
  <conditionalFormatting sqref="O10:Q12">
    <cfRule type="expression" dxfId="561" priority="40" stopIfTrue="1">
      <formula>$U$1="ja"</formula>
    </cfRule>
    <cfRule type="expression" dxfId="560" priority="41" stopIfTrue="1">
      <formula>$X$1="ja"</formula>
    </cfRule>
    <cfRule type="expression" dxfId="559" priority="42" stopIfTrue="1">
      <formula>$AD$1="ja"</formula>
    </cfRule>
  </conditionalFormatting>
  <conditionalFormatting sqref="R10:T12">
    <cfRule type="expression" dxfId="558" priority="43" stopIfTrue="1">
      <formula>$AA$1="ja"</formula>
    </cfRule>
    <cfRule type="expression" dxfId="557" priority="44" stopIfTrue="1">
      <formula>$AD$1="ja"</formula>
    </cfRule>
  </conditionalFormatting>
  <conditionalFormatting sqref="U11:U12">
    <cfRule type="expression" dxfId="556" priority="45" stopIfTrue="1">
      <formula>$AD$1="ja"</formula>
    </cfRule>
  </conditionalFormatting>
  <conditionalFormatting sqref="X10:X12 AA10:AC12">
    <cfRule type="expression" dxfId="555" priority="46" stopIfTrue="1">
      <formula>$X$1="ja"</formula>
    </cfRule>
    <cfRule type="expression" dxfId="554" priority="47" stopIfTrue="1">
      <formula>$AA$1="ja"</formula>
    </cfRule>
    <cfRule type="expression" dxfId="553" priority="48" stopIfTrue="1">
      <formula>$AD$1="ja"</formula>
    </cfRule>
  </conditionalFormatting>
  <conditionalFormatting sqref="AU17:AU52">
    <cfRule type="cellIs" dxfId="552" priority="49" stopIfTrue="1" operator="notEqual">
      <formula>""</formula>
    </cfRule>
  </conditionalFormatting>
  <conditionalFormatting sqref="M17:M52">
    <cfRule type="cellIs" dxfId="551" priority="50" stopIfTrue="1" operator="equal">
      <formula>"x"</formula>
    </cfRule>
    <cfRule type="cellIs" dxfId="550" priority="51" stopIfTrue="1" operator="equal">
      <formula>""</formula>
    </cfRule>
  </conditionalFormatting>
  <conditionalFormatting sqref="H17:I52">
    <cfRule type="cellIs" dxfId="549" priority="52" stopIfTrue="1" operator="equal">
      <formula>""</formula>
    </cfRule>
  </conditionalFormatting>
  <conditionalFormatting sqref="L17:L52">
    <cfRule type="cellIs" dxfId="548" priority="53" stopIfTrue="1" operator="equal">
      <formula>"x"</formula>
    </cfRule>
    <cfRule type="cellIs" dxfId="547" priority="54" stopIfTrue="1" operator="equal">
      <formula>""</formula>
    </cfRule>
  </conditionalFormatting>
  <conditionalFormatting sqref="N17:N52">
    <cfRule type="cellIs" dxfId="546" priority="55" stopIfTrue="1" operator="equal">
      <formula>""</formula>
    </cfRule>
    <cfRule type="cellIs" dxfId="545" priority="56" stopIfTrue="1" operator="greaterThan">
      <formula>""</formula>
    </cfRule>
  </conditionalFormatting>
  <conditionalFormatting sqref="J17:K52">
    <cfRule type="cellIs" dxfId="544" priority="57" stopIfTrue="1" operator="equal">
      <formula>""</formula>
    </cfRule>
  </conditionalFormatting>
  <conditionalFormatting sqref="F17:G52">
    <cfRule type="expression" dxfId="543" priority="58" stopIfTrue="1">
      <formula>""</formula>
    </cfRule>
  </conditionalFormatting>
  <conditionalFormatting sqref="S17:S52 V17:V52 Y17:Y52 P17:P52 AB17:AB52">
    <cfRule type="cellIs" dxfId="542" priority="59" stopIfTrue="1" operator="equal">
      <formula>0</formula>
    </cfRule>
    <cfRule type="cellIs" dxfId="541" priority="60" stopIfTrue="1" operator="greaterThan">
      <formula>0</formula>
    </cfRule>
  </conditionalFormatting>
  <conditionalFormatting sqref="Q17:Q52 T17:T52 W17:W52 Z17:Z52 AC17:AC52">
    <cfRule type="cellIs" dxfId="540" priority="61" stopIfTrue="1" operator="equal">
      <formula>""</formula>
    </cfRule>
    <cfRule type="cellIs" dxfId="539" priority="62" stopIfTrue="1" operator="greaterThanOrEqual">
      <formula>1.3</formula>
    </cfRule>
    <cfRule type="cellIs" dxfId="538" priority="63" stopIfTrue="1" operator="lessThan">
      <formula>0.8</formula>
    </cfRule>
  </conditionalFormatting>
  <conditionalFormatting sqref="AV17:AV52">
    <cfRule type="cellIs" dxfId="537" priority="64" stopIfTrue="1" operator="equal">
      <formula>1</formula>
    </cfRule>
    <cfRule type="cellIs" dxfId="536" priority="65" stopIfTrue="1" operator="lessThan">
      <formula>0.8</formula>
    </cfRule>
    <cfRule type="cellIs" dxfId="535" priority="66" stopIfTrue="1" operator="between">
      <formula>0.8</formula>
      <formula>1</formula>
    </cfRule>
  </conditionalFormatting>
  <conditionalFormatting sqref="D17:D52">
    <cfRule type="cellIs" dxfId="534" priority="67" stopIfTrue="1" operator="equal">
      <formula>""</formula>
    </cfRule>
    <cfRule type="cellIs" dxfId="533" priority="68" stopIfTrue="1" operator="greaterThan">
      <formula>""</formula>
    </cfRule>
  </conditionalFormatting>
  <conditionalFormatting sqref="O17:O52">
    <cfRule type="cellIs" dxfId="532" priority="69" stopIfTrue="1" operator="equal">
      <formula>0</formula>
    </cfRule>
    <cfRule type="expression" dxfId="531" priority="70" stopIfTrue="1">
      <formula>$Q17&gt;=0.8</formula>
    </cfRule>
    <cfRule type="expression" dxfId="530" priority="71" stopIfTrue="1">
      <formula>$Q17&lt;0.8</formula>
    </cfRule>
  </conditionalFormatting>
  <conditionalFormatting sqref="R17:R52">
    <cfRule type="cellIs" dxfId="529" priority="72" stopIfTrue="1" operator="equal">
      <formula>0</formula>
    </cfRule>
    <cfRule type="expression" dxfId="528" priority="73" stopIfTrue="1">
      <formula>$T17&gt;=0.8</formula>
    </cfRule>
    <cfRule type="expression" dxfId="527" priority="74" stopIfTrue="1">
      <formula>$T17&lt;0.8</formula>
    </cfRule>
  </conditionalFormatting>
  <conditionalFormatting sqref="U17:U52">
    <cfRule type="cellIs" dxfId="526" priority="75" stopIfTrue="1" operator="equal">
      <formula>0</formula>
    </cfRule>
    <cfRule type="expression" dxfId="525" priority="76" stopIfTrue="1">
      <formula>$W17&gt;=0.8</formula>
    </cfRule>
    <cfRule type="expression" dxfId="524" priority="77" stopIfTrue="1">
      <formula>$W17&lt;0.8</formula>
    </cfRule>
  </conditionalFormatting>
  <conditionalFormatting sqref="X17:X52">
    <cfRule type="cellIs" dxfId="523" priority="78" stopIfTrue="1" operator="equal">
      <formula>0</formula>
    </cfRule>
    <cfRule type="expression" dxfId="522" priority="79" stopIfTrue="1">
      <formula>$Z17&gt;=0.8</formula>
    </cfRule>
    <cfRule type="expression" dxfId="521" priority="80" stopIfTrue="1">
      <formula>$Z17&lt;0.8</formula>
    </cfRule>
  </conditionalFormatting>
  <conditionalFormatting sqref="AA17:AA52">
    <cfRule type="cellIs" dxfId="520" priority="81" stopIfTrue="1" operator="equal">
      <formula>0</formula>
    </cfRule>
    <cfRule type="expression" dxfId="519" priority="82" stopIfTrue="1">
      <formula>$AC17&gt;=0.8</formula>
    </cfRule>
    <cfRule type="expression" dxfId="518" priority="83" stopIfTrue="1">
      <formula>$AC17&lt;0.8</formula>
    </cfRule>
  </conditionalFormatting>
  <conditionalFormatting sqref="Y10:Z12">
    <cfRule type="expression" dxfId="517" priority="163" stopIfTrue="1">
      <formula>$AA$1="ja"</formula>
    </cfRule>
    <cfRule type="expression" dxfId="516" priority="164" stopIfTrue="1">
      <formula>$AD$1="ja"</formula>
    </cfRule>
    <cfRule type="expression" dxfId="515" priority="165" stopIfTrue="1">
      <formula>$X$1="ja"</formula>
    </cfRule>
  </conditionalFormatting>
  <conditionalFormatting sqref="U10 V10:W12">
    <cfRule type="expression" dxfId="514" priority="166" stopIfTrue="1">
      <formula>$AD$1="ja"</formula>
    </cfRule>
  </conditionalFormatting>
  <conditionalFormatting sqref="C17:C52">
    <cfRule type="expression" dxfId="513" priority="2" stopIfTrue="1">
      <formula>$C17=""</formula>
    </cfRule>
    <cfRule type="expression" dxfId="512" priority="3" stopIfTrue="1">
      <formula>$C17&gt;$E17</formula>
    </cfRule>
    <cfRule type="expression" dxfId="511" priority="4" stopIfTrue="1">
      <formula>$C17&lt;$E17</formula>
    </cfRule>
  </conditionalFormatting>
  <conditionalFormatting sqref="AT17:AT52">
    <cfRule type="cellIs" dxfId="510"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70" orientation="portrait"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6" man="1"/>
  </rowBreaks>
  <colBreaks count="2" manualBreakCount="2">
    <brk id="20" max="93" man="1"/>
    <brk id="57" max="93" man="1"/>
  </col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V39"/>
  <sheetViews>
    <sheetView showGridLines="0" showRowColHeaders="0" zoomScale="75" zoomScaleNormal="75" workbookViewId="0">
      <selection activeCell="F4" sqref="F4"/>
    </sheetView>
  </sheetViews>
  <sheetFormatPr defaultRowHeight="12.75" x14ac:dyDescent="0.2"/>
  <cols>
    <col min="1" max="1" width="4.140625" bestFit="1" customWidth="1"/>
    <col min="2" max="2" width="20.7109375" style="33" customWidth="1"/>
    <col min="3" max="3" width="4" customWidth="1"/>
    <col min="5" max="5" width="18" customWidth="1"/>
    <col min="6" max="10" width="11.140625" bestFit="1" customWidth="1"/>
    <col min="11" max="11" width="9.28515625" bestFit="1" customWidth="1"/>
    <col min="12" max="12" width="9.85546875" bestFit="1" customWidth="1"/>
    <col min="19" max="19" width="18.140625" style="1" bestFit="1" customWidth="1"/>
    <col min="20" max="20" width="12.85546875" style="1" customWidth="1"/>
    <col min="21" max="21" width="18.42578125" style="1" bestFit="1" customWidth="1"/>
    <col min="22" max="22" width="15.5703125" style="1" bestFit="1" customWidth="1"/>
  </cols>
  <sheetData>
    <row r="1" spans="1:22" ht="13.5" thickBot="1" x14ac:dyDescent="0.25"/>
    <row r="2" spans="1:22" ht="21.75" thickBot="1" x14ac:dyDescent="0.45">
      <c r="A2" s="41"/>
      <c r="B2" s="42" t="str">
        <f>BEGINBLAD!A5</f>
        <v>namen leerlingen:</v>
      </c>
      <c r="D2" s="354" t="s">
        <v>7</v>
      </c>
      <c r="E2" s="361"/>
      <c r="F2" s="311">
        <v>6</v>
      </c>
      <c r="G2" s="355" t="str">
        <f>VLOOKUP($F$4,BEGINBLAD!A1:C41,2)</f>
        <v>leerling 2</v>
      </c>
      <c r="H2" s="355"/>
      <c r="I2" s="355"/>
      <c r="J2" s="355"/>
      <c r="K2" s="355"/>
      <c r="L2" s="355"/>
      <c r="M2" s="355"/>
      <c r="N2" s="356"/>
      <c r="S2" s="220" t="s">
        <v>106</v>
      </c>
      <c r="T2" s="232" t="s">
        <v>55</v>
      </c>
      <c r="U2" s="232" t="s">
        <v>107</v>
      </c>
      <c r="V2" s="233" t="s">
        <v>108</v>
      </c>
    </row>
    <row r="3" spans="1:22" ht="13.5" thickBot="1" x14ac:dyDescent="0.25">
      <c r="A3" s="37">
        <f>BEGINBLAD!A6</f>
        <v>1</v>
      </c>
      <c r="B3" s="38" t="str">
        <f>BEGINBLAD!B6</f>
        <v>leerling 1</v>
      </c>
    </row>
    <row r="4" spans="1:22" ht="21.75" thickBot="1" x14ac:dyDescent="0.45">
      <c r="A4" s="37">
        <f>BEGINBLAD!A7</f>
        <v>2</v>
      </c>
      <c r="B4" s="38" t="str">
        <f>BEGINBLAD!B7</f>
        <v>leerling 2</v>
      </c>
      <c r="D4" s="352" t="s">
        <v>24</v>
      </c>
      <c r="E4" s="353"/>
      <c r="F4" s="217">
        <v>2</v>
      </c>
      <c r="G4" s="357" t="s">
        <v>145</v>
      </c>
      <c r="H4" s="358"/>
      <c r="I4" s="359">
        <f>VLOOKUP($F$4,BEGINBLAD!A6:C41,3)</f>
        <v>38056</v>
      </c>
      <c r="J4" s="359"/>
      <c r="K4" s="359"/>
      <c r="L4" s="359"/>
      <c r="M4" s="359"/>
      <c r="N4" s="360"/>
      <c r="S4" s="220" t="s">
        <v>109</v>
      </c>
      <c r="T4" s="224" t="str">
        <f>VLOOKUP($F$4,'RIO - M6'!$A$17:$AB$52,10)</f>
        <v>D</v>
      </c>
      <c r="U4" s="231">
        <f>VLOOKUP($F$4,'RIO - M6'!$A$17:$AB$52,11)</f>
        <v>1.6</v>
      </c>
      <c r="V4" s="230">
        <v>1</v>
      </c>
    </row>
    <row r="5" spans="1:22" x14ac:dyDescent="0.2">
      <c r="A5" s="37">
        <f>BEGINBLAD!A8</f>
        <v>3</v>
      </c>
      <c r="B5" s="38" t="str">
        <f>BEGINBLAD!B8</f>
        <v>leerling 3</v>
      </c>
    </row>
    <row r="6" spans="1:22" ht="15" x14ac:dyDescent="0.3">
      <c r="A6" s="37">
        <f>BEGINBLAD!A9</f>
        <v>4</v>
      </c>
      <c r="B6" s="38">
        <f>BEGINBLAD!B9</f>
        <v>0</v>
      </c>
      <c r="S6" s="239" t="s">
        <v>8</v>
      </c>
      <c r="T6" s="246" t="str">
        <f>VLOOKUP($F$4,'RIO - M6'!$A$17:$AB$52,15)</f>
        <v>D</v>
      </c>
      <c r="U6" s="240">
        <f>VLOOKUP($F$4,'RIO - M6'!$A$17:$AB$52,16)</f>
        <v>1</v>
      </c>
      <c r="V6" s="241">
        <f>VLOOKUP($F$4,'RIO - M6'!$A$17:$AB$52,17)</f>
        <v>0.625</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t="str">
        <f>VLOOKUP($F$4,'RIO - M6'!$A$17:$AB$52,18)</f>
        <v>B</v>
      </c>
      <c r="U8" s="227">
        <f>VLOOKUP($F$4,'RIO - M6'!$A$17:$AB$52,19)</f>
        <v>3.2</v>
      </c>
      <c r="V8" s="225">
        <f>VLOOKUP($F$4,'RIO - M6'!$A$17:$AB$52,20)</f>
        <v>2</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f>VLOOKUP($F$4,'RIO - M6'!$A$17:$AB$52,17)</f>
        <v>0.625</v>
      </c>
      <c r="G10" s="219">
        <f>VLOOKUP($F$4,'RIO - M6'!$A$17:$AB$52,20)</f>
        <v>2</v>
      </c>
      <c r="H10" s="219">
        <f>VLOOKUP($F$4,'RIO - M6'!$A$17:$AB$52,23)</f>
        <v>0.87499999999999989</v>
      </c>
      <c r="I10" s="219">
        <f>VLOOKUP($F$4,'RIO - M6'!$A$17:$AB$52,26)</f>
        <v>0.74999999999999989</v>
      </c>
      <c r="J10" s="219">
        <f>VLOOKUP($F$4,'RIO - M6'!$A$17:$AC$52,29)</f>
        <v>1.0625</v>
      </c>
      <c r="K10" s="219" t="str">
        <f>VLOOKUP($F$4,'RIO - M6'!$A$17:$AB$52,10)</f>
        <v>D</v>
      </c>
      <c r="L10" s="32"/>
      <c r="M10" s="32"/>
      <c r="S10" s="221" t="s">
        <v>10</v>
      </c>
      <c r="T10" s="247" t="str">
        <f>VLOOKUP($F$4,'RIO - M6'!$A$17:$AB$52,21)</f>
        <v>D</v>
      </c>
      <c r="U10" s="227">
        <f>VLOOKUP($F$4,'RIO - M6'!$A$17:$AB$52,22)</f>
        <v>1.4</v>
      </c>
      <c r="V10" s="225">
        <f>VLOOKUP($F$4,'RIO - M6'!$A$17:$AB$52,23)</f>
        <v>0.87499999999999989</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f>F10*L12</f>
        <v>0.25</v>
      </c>
      <c r="G12" s="218">
        <f>G10*L12</f>
        <v>0.8</v>
      </c>
      <c r="H12" s="218">
        <f>H10*L12</f>
        <v>0.35</v>
      </c>
      <c r="I12" s="218">
        <f>I10*L12</f>
        <v>0.3</v>
      </c>
      <c r="J12" s="218">
        <f>J10*L12</f>
        <v>0.42500000000000004</v>
      </c>
      <c r="K12" s="218">
        <f>0.8*L12</f>
        <v>0.32000000000000006</v>
      </c>
      <c r="L12" s="218">
        <f>IF(K10="A",1,IF(K10="B",0.8,IF(K10="C",0.6,IF(K10="D",0.4,IF(K10="E",0.2)))))</f>
        <v>0.4</v>
      </c>
      <c r="S12" s="221" t="s">
        <v>11</v>
      </c>
      <c r="T12" s="247" t="str">
        <f>VLOOKUP($F$4,'RIO - M6'!$A$17:$AB$52,24)</f>
        <v>D</v>
      </c>
      <c r="U12" s="227">
        <f>VLOOKUP($F$4,'RIO - M6'!$A$17:$AB$52,25)</f>
        <v>1.2</v>
      </c>
      <c r="V12" s="225">
        <f>VLOOKUP($F$4,'RIO - M6'!$A$17:$AB$52,26)</f>
        <v>0.74999999999999989</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t="str">
        <f>VLOOKUP($F$4,'RIO - M6'!$A$17:$AC$52,27)</f>
        <v>D</v>
      </c>
      <c r="U14" s="229">
        <f>VLOOKUP($F$4,'RIO - M6'!$A$17:$AC$52,28)</f>
        <v>1.7</v>
      </c>
      <c r="V14" s="226">
        <f>VLOOKUP($F$4,'RIO - M6'!$A$17:$AC$52,29)</f>
        <v>1.0625</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D</v>
      </c>
      <c r="U16" s="234">
        <f>AVERAGE(U6:U14)</f>
        <v>1.7</v>
      </c>
      <c r="V16" s="235">
        <f>VLOOKUP($F$4,'RIO - M6'!$A$17:$AC$52,14)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f>(U4/8)*10</f>
        <v>2</v>
      </c>
    </row>
    <row r="20" spans="1:21" x14ac:dyDescent="0.2">
      <c r="A20" s="37">
        <f>BEGINBLAD!A23</f>
        <v>18</v>
      </c>
      <c r="B20" s="38">
        <f>BEGINBLAD!B23</f>
        <v>0</v>
      </c>
      <c r="U20" s="5">
        <f>U4*0.8</f>
        <v>1.2800000000000002</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R+1nI4FIvyd5ZsYwf1u7CYtxvvoQvOrPCKm+51eBByXfCkKY8vnQGlmsiOin8vOsgS8tufUrLomyOmeYJ1w3WA==" saltValue="8Zv7BIJ/upBYLhBlZ0KXwA==" spinCount="100000" sheet="1" objects="1" scenarios="1"/>
  <mergeCells count="5">
    <mergeCell ref="D4:E4"/>
    <mergeCell ref="D2:E2"/>
    <mergeCell ref="G2:N2"/>
    <mergeCell ref="G4:H4"/>
    <mergeCell ref="I4:N4"/>
  </mergeCells>
  <phoneticPr fontId="3" type="noConversion"/>
  <conditionalFormatting sqref="V6:V14">
    <cfRule type="cellIs" dxfId="509" priority="1" stopIfTrue="1" operator="between">
      <formula>0.001</formula>
      <formula>0.8</formula>
    </cfRule>
    <cfRule type="cellIs" dxfId="508" priority="2" stopIfTrue="1" operator="greaterThanOrEqual">
      <formula>1.3</formula>
    </cfRule>
    <cfRule type="cellIs" dxfId="507" priority="3" stopIfTrue="1" operator="greaterThanOrEqual">
      <formula>1</formula>
    </cfRule>
  </conditionalFormatting>
  <conditionalFormatting sqref="V16">
    <cfRule type="cellIs" dxfId="506" priority="4" stopIfTrue="1" operator="equal">
      <formula>0</formula>
    </cfRule>
  </conditionalFormatting>
  <conditionalFormatting sqref="T6">
    <cfRule type="expression" dxfId="505" priority="5" stopIfTrue="1">
      <formula>$V$6&gt;=1.3</formula>
    </cfRule>
    <cfRule type="expression" dxfId="504" priority="6" stopIfTrue="1">
      <formula>$V$6&lt;0.8</formula>
    </cfRule>
    <cfRule type="expression" dxfId="503" priority="7" stopIfTrue="1">
      <formula>$V$6&lt;1</formula>
    </cfRule>
  </conditionalFormatting>
  <conditionalFormatting sqref="T8">
    <cfRule type="expression" dxfId="502" priority="8" stopIfTrue="1">
      <formula>$V$8&gt;=1.3</formula>
    </cfRule>
    <cfRule type="expression" dxfId="501" priority="9" stopIfTrue="1">
      <formula>$V$8&lt;0.8</formula>
    </cfRule>
    <cfRule type="expression" dxfId="500" priority="10" stopIfTrue="1">
      <formula>$V$8&lt;1</formula>
    </cfRule>
  </conditionalFormatting>
  <conditionalFormatting sqref="T10">
    <cfRule type="expression" dxfId="499" priority="11" stopIfTrue="1">
      <formula>$V$10&gt;=1.3</formula>
    </cfRule>
    <cfRule type="expression" dxfId="498" priority="12" stopIfTrue="1">
      <formula>$V$10&lt;0.8</formula>
    </cfRule>
    <cfRule type="expression" dxfId="497" priority="13" stopIfTrue="1">
      <formula>$V$10&lt;1</formula>
    </cfRule>
  </conditionalFormatting>
  <conditionalFormatting sqref="T12">
    <cfRule type="expression" dxfId="496" priority="14" stopIfTrue="1">
      <formula>$V$12&gt;=1.3</formula>
    </cfRule>
    <cfRule type="expression" dxfId="495" priority="15" stopIfTrue="1">
      <formula>$V$12&lt;0.8</formula>
    </cfRule>
    <cfRule type="expression" dxfId="494" priority="16" stopIfTrue="1">
      <formula>$V$12&lt;1</formula>
    </cfRule>
  </conditionalFormatting>
  <conditionalFormatting sqref="T14">
    <cfRule type="expression" dxfId="493" priority="17" stopIfTrue="1">
      <formula>$V$14&gt;=1.3</formula>
    </cfRule>
    <cfRule type="expression" dxfId="492" priority="18" stopIfTrue="1">
      <formula>$V$14&lt;0.8</formula>
    </cfRule>
    <cfRule type="expression" dxfId="491" priority="19" stopIfTrue="1">
      <formula>$V$14&lt;1</formula>
    </cfRule>
  </conditionalFormatting>
  <conditionalFormatting sqref="T16">
    <cfRule type="expression" dxfId="490" priority="20" stopIfTrue="1">
      <formula>$U$16&gt;=$U$19</formula>
    </cfRule>
    <cfRule type="expression" dxfId="489" priority="21" stopIfTrue="1">
      <formula>$U$16&lt;$U$20</formula>
    </cfRule>
    <cfRule type="expression" dxfId="488" priority="22" stopIfTrue="1">
      <formula>$T$16&lt;$U$4</formula>
    </cfRule>
  </conditionalFormatting>
  <pageMargins left="0.41" right="0.25" top="1" bottom="1" header="0.5" footer="0.5"/>
  <pageSetup paperSize="9" scale="64" orientation="landscape" horizontalDpi="4294967293" verticalDpi="0" r:id="rId1"/>
  <headerFooter alignWithMargins="0">
    <oddHeader>&amp;C&amp;14Ontwikkelings Perspectief (OP)</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1:P44"/>
  <sheetViews>
    <sheetView showGridLines="0" showRowColHeaders="0" zoomScale="85" zoomScaleNormal="85" workbookViewId="0">
      <selection activeCell="V14" sqref="V14"/>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6</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t="str">
        <f>BEGINBLAD!B6</f>
        <v>leerling 1</v>
      </c>
      <c r="D6" s="152">
        <v>3.1</v>
      </c>
      <c r="E6" s="153">
        <v>1</v>
      </c>
      <c r="F6" s="153">
        <v>2</v>
      </c>
      <c r="G6" s="153">
        <v>1</v>
      </c>
      <c r="H6" s="153">
        <v>2.6</v>
      </c>
      <c r="I6" s="162">
        <v>4.0999999999999996</v>
      </c>
      <c r="J6" s="43">
        <f t="shared" ref="J6:J41" si="0">SUM(D6:I6)</f>
        <v>13.799999999999999</v>
      </c>
      <c r="K6" s="166">
        <f t="shared" ref="K6:K41" si="1">COUNTA(D6:I6)</f>
        <v>6</v>
      </c>
      <c r="L6" s="165"/>
      <c r="M6" s="156">
        <f t="shared" ref="M6:M41" si="2">IF(K6=0,"",IF(K6&gt;0,J6/K6))</f>
        <v>2.2999999999999998</v>
      </c>
      <c r="N6" s="157" t="str">
        <f t="shared" ref="N6:N41" si="3">IF(M6="","",IF(M6&gt;=4.5,"A+",IF(M6&gt;=4,"A",IF(M6&gt;=3,"B",IF(M6&gt;2.3,"C",IF(M6&gt;=2,"C-",IF(M6&gt;=1,"D",IF(M6&gt;0,"E"))))))))</f>
        <v>C-</v>
      </c>
      <c r="O6" s="24"/>
      <c r="P6" s="20"/>
    </row>
    <row r="7" spans="2:16" ht="19.5" customHeight="1" x14ac:dyDescent="0.2">
      <c r="B7" s="39">
        <v>2</v>
      </c>
      <c r="C7" s="27" t="str">
        <f>BEGINBLAD!B7</f>
        <v>leerling 2</v>
      </c>
      <c r="D7" s="152">
        <v>1.5</v>
      </c>
      <c r="E7" s="153">
        <v>1.6</v>
      </c>
      <c r="F7" s="153">
        <v>1.7</v>
      </c>
      <c r="G7" s="153">
        <v>2.2000000000000002</v>
      </c>
      <c r="H7" s="153">
        <v>1.9</v>
      </c>
      <c r="I7" s="162">
        <v>0.6</v>
      </c>
      <c r="J7" s="43">
        <f t="shared" si="0"/>
        <v>9.5</v>
      </c>
      <c r="K7" s="166">
        <f t="shared" si="1"/>
        <v>6</v>
      </c>
      <c r="L7" s="165"/>
      <c r="M7" s="156">
        <f t="shared" si="2"/>
        <v>1.5833333333333333</v>
      </c>
      <c r="N7" s="157" t="str">
        <f t="shared" si="3"/>
        <v>D</v>
      </c>
      <c r="O7" s="19"/>
      <c r="P7" s="20"/>
    </row>
    <row r="8" spans="2:16" s="10" customFormat="1" ht="19.5" customHeight="1" x14ac:dyDescent="0.2">
      <c r="B8" s="39">
        <v>3</v>
      </c>
      <c r="C8" s="27" t="str">
        <f>BEGINBLAD!B8</f>
        <v>leerling 3</v>
      </c>
      <c r="D8" s="152"/>
      <c r="E8" s="153"/>
      <c r="F8" s="153"/>
      <c r="G8" s="153"/>
      <c r="H8" s="153"/>
      <c r="I8" s="162"/>
      <c r="J8" s="43">
        <f t="shared" si="0"/>
        <v>0</v>
      </c>
      <c r="K8" s="166">
        <f t="shared" si="1"/>
        <v>0</v>
      </c>
      <c r="L8" s="165"/>
      <c r="M8" s="156" t="str">
        <f t="shared" si="2"/>
        <v/>
      </c>
      <c r="N8" s="157" t="str">
        <f t="shared" si="3"/>
        <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f t="shared" ref="D42:K42" si="4">AVERAGE(D6:D41)</f>
        <v>2.2999999999999998</v>
      </c>
      <c r="E42" s="169">
        <f t="shared" si="4"/>
        <v>1.3</v>
      </c>
      <c r="F42" s="169">
        <f t="shared" si="4"/>
        <v>1.85</v>
      </c>
      <c r="G42" s="169">
        <f t="shared" si="4"/>
        <v>1.6</v>
      </c>
      <c r="H42" s="169">
        <f t="shared" si="4"/>
        <v>2.25</v>
      </c>
      <c r="I42" s="169">
        <f t="shared" si="4"/>
        <v>2.3499999999999996</v>
      </c>
      <c r="J42" s="169">
        <f t="shared" si="4"/>
        <v>0.64722222222222214</v>
      </c>
      <c r="K42" s="169">
        <f t="shared" si="4"/>
        <v>0.33333333333333331</v>
      </c>
      <c r="L42" s="170"/>
      <c r="M42" s="169">
        <f>AVERAGE(M6:M41)</f>
        <v>1.9416666666666664</v>
      </c>
    </row>
    <row r="43" spans="2:16" ht="19.5" customHeight="1" x14ac:dyDescent="0.2">
      <c r="C43" s="168" t="s">
        <v>91</v>
      </c>
      <c r="D43" s="171" t="str">
        <f t="shared" ref="D43:M43" si="5">IF(D42="","",IF(D42&gt;=4.5,"A+",IF(D42&gt;=4,"A",IF(D42&gt;=3,"B",IF(D42&gt;2.3,"C",IF(D42&gt;=2,"C-",IF(D42&gt;=1,"D",IF(D42&gt;0,"E"))))))))</f>
        <v>C-</v>
      </c>
      <c r="E43" s="171" t="str">
        <f t="shared" si="5"/>
        <v>D</v>
      </c>
      <c r="F43" s="171" t="str">
        <f t="shared" si="5"/>
        <v>D</v>
      </c>
      <c r="G43" s="171" t="str">
        <f t="shared" si="5"/>
        <v>D</v>
      </c>
      <c r="H43" s="171" t="str">
        <f t="shared" si="5"/>
        <v>C-</v>
      </c>
      <c r="I43" s="171" t="str">
        <f t="shared" si="5"/>
        <v>C</v>
      </c>
      <c r="J43" s="171" t="str">
        <f t="shared" si="5"/>
        <v>E</v>
      </c>
      <c r="K43" s="171" t="str">
        <f t="shared" si="5"/>
        <v>E</v>
      </c>
      <c r="L43" s="172" t="str">
        <f t="shared" si="5"/>
        <v/>
      </c>
      <c r="M43" s="171" t="str">
        <f t="shared" si="5"/>
        <v>D</v>
      </c>
    </row>
    <row r="44" spans="2:16" x14ac:dyDescent="0.2">
      <c r="C44" s="11">
        <f>BEGINBLAD!$B$42</f>
        <v>3</v>
      </c>
    </row>
  </sheetData>
  <sheetProtection algorithmName="SHA-512" hashValue="xbA09kSIdcWrjggK8I+Dt2fOwZQGGq7uvfehpcFyDD41HXJ44wn+z8IYAMix4DHaas32YRRcM2sAM2JY4o95FQ==" saltValue="HZU3kxWy5Vah0unId6m9Kg==" spinCount="100000" sheet="1"/>
  <mergeCells count="5">
    <mergeCell ref="B2:C2"/>
    <mergeCell ref="E2:F2"/>
    <mergeCell ref="M2:N2"/>
    <mergeCell ref="G2:H2"/>
    <mergeCell ref="I2:L2"/>
  </mergeCells>
  <phoneticPr fontId="3" type="noConversion"/>
  <conditionalFormatting sqref="C6:C41">
    <cfRule type="expression" dxfId="487" priority="1" stopIfTrue="1">
      <formula>$N6=""</formula>
    </cfRule>
    <cfRule type="expression" dxfId="486" priority="2" stopIfTrue="1">
      <formula>$N6="A+"</formula>
    </cfRule>
  </conditionalFormatting>
  <conditionalFormatting sqref="N6:N41 D43:M43">
    <cfRule type="cellIs" dxfId="485" priority="3" stopIfTrue="1" operator="between">
      <formula>"D"</formula>
      <formula>"E"</formula>
    </cfRule>
    <cfRule type="cellIs" dxfId="484" priority="4" stopIfTrue="1" operator="between">
      <formula>"B"</formula>
      <formula>"B+"</formula>
    </cfRule>
    <cfRule type="cellIs" dxfId="483" priority="5" stopIfTrue="1" operator="between">
      <formula>"A"</formula>
      <formula>"A+"</formula>
    </cfRule>
  </conditionalFormatting>
  <conditionalFormatting sqref="D6:I41">
    <cfRule type="cellIs" dxfId="482" priority="6" stopIfTrue="1" operator="between">
      <formula>0.1</formula>
      <formula>1.9</formula>
    </cfRule>
    <cfRule type="cellIs" dxfId="481" priority="7" stopIfTrue="1" operator="between">
      <formula>3</formula>
      <formula>3.9</formula>
    </cfRule>
    <cfRule type="cellIs" dxfId="480" priority="8" stopIfTrue="1" operator="between">
      <formula>4</formula>
      <formula>5</formula>
    </cfRule>
  </conditionalFormatting>
  <conditionalFormatting sqref="M6:M41 D42:M42">
    <cfRule type="cellIs" dxfId="479" priority="9" stopIfTrue="1" operator="between">
      <formula>0.001</formula>
      <formula>1.999</formula>
    </cfRule>
    <cfRule type="cellIs" dxfId="478" priority="10" stopIfTrue="1" operator="between">
      <formula>3</formula>
      <formula>3.999</formula>
    </cfRule>
    <cfRule type="cellIs" dxfId="477"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sheetPr>
  <dimension ref="A1:BG72"/>
  <sheetViews>
    <sheetView showGridLines="0" showRowColHeaders="0" zoomScale="85" zoomScaleNormal="85" workbookViewId="0">
      <selection activeCell="AD1" sqref="AD1:AU1048576"/>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29">
        <f>'NW - E6'!$D$2</f>
        <v>6</v>
      </c>
      <c r="K1" s="331"/>
      <c r="L1" s="244"/>
      <c r="M1" s="32"/>
      <c r="N1" s="323" t="s">
        <v>23</v>
      </c>
      <c r="O1" s="323"/>
      <c r="P1" s="214"/>
      <c r="Q1" s="214"/>
      <c r="U1" s="5" t="b">
        <f>IF($J$1=3,"ja",IF($J$1="3A","ja",IF($J$1="3B","ja",IF($J$1="3C","ja"))))</f>
        <v>0</v>
      </c>
      <c r="X1" s="5" t="b">
        <f>IF($J$1=4,"ja",IF($J$1="4A","ja",IF($J$1="4B","ja",IF($J$1="4C","ja"))))</f>
        <v>0</v>
      </c>
      <c r="AA1" s="5" t="str">
        <f>IF($J$1=6,"ja",IF($J$1="6A","ja",IF($J$1="6B","ja",IF($J$1="6C","ja"))))</f>
        <v>ja</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0"/>
      <c r="K2" s="322"/>
      <c r="L2" s="245"/>
      <c r="M2" s="32"/>
      <c r="N2" s="324" t="s">
        <v>30</v>
      </c>
      <c r="O2" s="324"/>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25"/>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7"/>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4" t="s">
        <v>35</v>
      </c>
      <c r="P9" s="345"/>
      <c r="Q9" s="345"/>
      <c r="R9" s="345"/>
      <c r="S9" s="345"/>
      <c r="T9" s="345"/>
      <c r="U9" s="345"/>
      <c r="V9" s="345"/>
      <c r="W9" s="346"/>
      <c r="X9" s="344" t="s">
        <v>36</v>
      </c>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199"/>
      <c r="AW9" s="328" t="s">
        <v>113</v>
      </c>
      <c r="AX9" s="328"/>
      <c r="AY9" s="328"/>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t="str">
        <f>BEGINBLAD!B6</f>
        <v>leerling 1</v>
      </c>
      <c r="C17" s="110" t="str">
        <f>IF('RIO - M6'!C17="","",IF('RIO - M6'!C17&gt;"",'RIO - M6'!C17))</f>
        <v>C</v>
      </c>
      <c r="D17" s="149" t="str">
        <f>IF('NW - E6'!N6="","",IF('NW - E6'!N6="A+","A",IF('NW - E6'!N6="A","A",IF('NW - E6'!N6="B","B",IF('NW - E6'!N6="C","C",IF('NW - E6'!N6="C-","C",IF('NW - E6'!N6="D","D",IF('NW - E6'!N6="E","E"))))))))</f>
        <v>C</v>
      </c>
      <c r="E17" s="110"/>
      <c r="F17" s="192">
        <f t="shared" ref="F17:F52" si="0">IF(C17="","",IF(C17="A",5,IF(C17="B",4,IF(C17="C",3,IF(C17="D",2,IF(C17="E",1))))))</f>
        <v>3</v>
      </c>
      <c r="G17" s="192">
        <f t="shared" ref="G17:G52" si="1">IF(D17="","",IF(D17="A",5,IF(D17="B",4,IF(D17="C",3,IF(D17="D",2,IF(D17="E",1))))))</f>
        <v>3</v>
      </c>
      <c r="H17" s="191" t="str">
        <f t="shared" ref="H17:H52" si="2">IF(E17="","",IF(E17="A",5,IF(E17="B",4,IF(E17="C",3,IF(E17="D",2,IF(E17="E",1))))))</f>
        <v/>
      </c>
      <c r="I17" s="193">
        <f t="shared" ref="I17:I52" si="3">IF(F17="",H17,IF(H17="",F17,IF(F17&gt;H17,F17,IF(F17&lt;H17,H17,IF(F17=H17,F17)))))</f>
        <v>3</v>
      </c>
      <c r="J17" s="208" t="str">
        <f t="shared" ref="J17:J52" si="4">IF(I17="","",IF(I17=5,"A",IF(I17=4,"B",IF(I17=3,"C",IF(I17=2,"D",IF(I17=1,"E"))))))</f>
        <v>C</v>
      </c>
      <c r="K17" s="210">
        <f t="shared" ref="K17:K52" si="5">IF(I17="","",IF(I17=5,4,IF(I17=4,3.2,IF(I17=3,2.4,IF(I17=2,1.6,IF(I17=1,0.8))))))</f>
        <v>2.4</v>
      </c>
      <c r="L17" s="188"/>
      <c r="M17" s="104"/>
      <c r="N17" s="105"/>
      <c r="O17" s="250" t="str">
        <f t="shared" ref="O17:O52" si="6">IF(P17=0,0,IF(P17&gt;=4,"A",IF(P17&gt;=3,"B",IF(P17&gt;2.3,"C",IF(P17&gt;=1,"D",IF(P17&gt;0,"E"))))))</f>
        <v>B</v>
      </c>
      <c r="P17" s="249">
        <f>IF('NW - E6'!D6=0,0,IF('NW - E6'!D6&gt;=0,'NW - E6'!D6))</f>
        <v>3.1</v>
      </c>
      <c r="Q17" s="206">
        <f t="shared" ref="Q17:Q52" si="7">IF(K17="","",IF(P17=0,"",IF(P17&gt;0,P17/K17)))</f>
        <v>1.2916666666666667</v>
      </c>
      <c r="R17" s="250" t="str">
        <f t="shared" ref="R17:R52" si="8">IF(S17=0,0,IF(S17&gt;=4,"A",IF(S17&gt;=3,"B",IF(S17&gt;2.3,"C",IF(S17&gt;=1,"D",IF(S17&gt;0,"E"))))))</f>
        <v>D</v>
      </c>
      <c r="S17" s="249">
        <f>IF('NW - E6'!F6=0,0,IF('NW - E6'!F6&gt;=0,'NW - E6'!F6))</f>
        <v>2</v>
      </c>
      <c r="T17" s="206">
        <f t="shared" ref="T17:T52" si="9">IF(K17="","",IF(S17=0,"",IF(S17&gt;0,S17/K17)))</f>
        <v>0.83333333333333337</v>
      </c>
      <c r="U17" s="250" t="str">
        <f t="shared" ref="U17:U52" si="10">IF(V17=0,0,IF(V17&gt;=4,"A",IF(V17&gt;=3,"B",IF(V17&gt;2.3,"C",IF(V17&gt;=1,"D",IF(V17&gt;0,"E"))))))</f>
        <v>D</v>
      </c>
      <c r="V17" s="249">
        <f>IF('NW - E6'!E6=0,0,IF('NW - E6'!E6&gt;=0,'NW - E6'!E6))</f>
        <v>1</v>
      </c>
      <c r="W17" s="206">
        <f t="shared" ref="W17:W52" si="11">IF(K17="","",IF(V17=0,"",IF(V17&gt;0,V17/K17)))</f>
        <v>0.41666666666666669</v>
      </c>
      <c r="X17" s="250" t="str">
        <f t="shared" ref="X17:X52" si="12">IF(Y17=0,0,IF(Y17&gt;=4,"A",IF(Y17&gt;=3,"B",IF(Y17&gt;2.3,"C",IF(Y17&gt;=1,"D",IF(Y17&gt;0,"E"))))))</f>
        <v>A</v>
      </c>
      <c r="Y17" s="249">
        <f>IF('NW - E6'!I6=0,0,IF('NW - E6'!I6&gt;=0,'NW - E6'!I6))</f>
        <v>4.0999999999999996</v>
      </c>
      <c r="Z17" s="206">
        <f t="shared" ref="Z17:Z52" si="13">IF(K17="","",IF(Y17=0,"",IF(Y17&gt;0,Y17/K17)))</f>
        <v>1.7083333333333333</v>
      </c>
      <c r="AA17" s="250" t="str">
        <f t="shared" ref="AA17:AA52" si="14">IF(AB17=0,0,IF(AB17&gt;=4,"A",IF(AB17&gt;=3,"B",IF(AB17&gt;2.3,"C",IF(AB17&gt;=1,"D",IF(AB17&gt;0,"E"))))))</f>
        <v>C</v>
      </c>
      <c r="AB17" s="249">
        <f>IF('NW - E6'!H6=0,0,IF('NW - E6'!H6&gt;=0,'NW - E6'!H6))</f>
        <v>2.6</v>
      </c>
      <c r="AC17" s="206">
        <f t="shared" ref="AC17:AC52" si="15">IF(K17="","",IF(AB17=0,"",IF(AB17&gt;0,AB17/K17)))</f>
        <v>1.0833333333333335</v>
      </c>
      <c r="AD17" s="1">
        <f>IF($J17="","",IF(O17=0,"",IF(Q17&lt;0.8,"",IF(Q17&gt;=0.8,1))))</f>
        <v>1</v>
      </c>
      <c r="AE17" s="1">
        <f t="shared" ref="AE17:AE52" si="16">IF($J17="","",IF(R17=0,"",IF(T17&lt;0.8,"",IF(T17&gt;=0.8,1))))</f>
        <v>1</v>
      </c>
      <c r="AF17" s="1" t="str">
        <f t="shared" ref="AF17:AF52" si="17">IF($J17="","",IF(U17=0,"",IF(W17&lt;0.8,"",IF(W17&gt;=0.8,1))))</f>
        <v/>
      </c>
      <c r="AG17" s="1">
        <f t="shared" ref="AG17:AG52" si="18">IF($J17="","",IF(X17=0,"",IF(Z17&lt;0.8,"",IF(Z17&gt;=0.8,1))))</f>
        <v>1</v>
      </c>
      <c r="AH17" s="1">
        <f t="shared" ref="AH17:AH52" si="19">IF($J17="","",IF(AA17=0,"",IF(AC17&lt;0.8,"",IF(AC17&gt;=0.8,1))))</f>
        <v>1</v>
      </c>
      <c r="AI17" s="1">
        <f t="shared" ref="AI17:AI52" si="20">SUM(AD17:AH17)</f>
        <v>4</v>
      </c>
      <c r="AJ17" s="106" t="b">
        <f t="shared" ref="AJ17:AJ52" si="21">IF($J17="A",$AV17)</f>
        <v>0</v>
      </c>
      <c r="AK17" s="106" t="b">
        <f t="shared" ref="AK17:AK52" si="22">IF($J17="B",$AV17)</f>
        <v>0</v>
      </c>
      <c r="AL17" s="106">
        <f t="shared" ref="AL17:AL52" si="23">IF($J17="C",$AV17)</f>
        <v>0.8</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f>IF(J17="","",IF(J17&gt;0,COUNT(O17+R17+U17+X17+AA17)))</f>
        <v>0</v>
      </c>
      <c r="AU17" s="198">
        <f t="shared" ref="AU17:AU52" si="30">5-AT17</f>
        <v>5</v>
      </c>
      <c r="AV17" s="204">
        <f t="shared" ref="AV17:AV52" si="31">IF(AT17="","",IF(AU17=0,"",IF(AU17&gt;0,AI17/AU17)))</f>
        <v>0.8</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t="str">
        <f>BEGINBLAD!B7</f>
        <v>leerling 2</v>
      </c>
      <c r="C18" s="110" t="str">
        <f>IF('RIO - M6'!C18="","",IF('RIO - M6'!C18&gt;"",'RIO - M6'!C18))</f>
        <v>D</v>
      </c>
      <c r="D18" s="149" t="str">
        <f>IF('NW - E6'!N7="","",IF('NW - E6'!N7="A+","A",IF('NW - E6'!N7="A","A",IF('NW - E6'!N7="B","B",IF('NW - E6'!N7="C","C",IF('NW - E6'!N7="C-","C",IF('NW - E6'!N7="D","D",IF('NW - E6'!N7="E","E"))))))))</f>
        <v>D</v>
      </c>
      <c r="E18" s="110"/>
      <c r="F18" s="192">
        <f t="shared" si="0"/>
        <v>2</v>
      </c>
      <c r="G18" s="192">
        <f t="shared" si="1"/>
        <v>2</v>
      </c>
      <c r="H18" s="191" t="str">
        <f t="shared" si="2"/>
        <v/>
      </c>
      <c r="I18" s="193">
        <f t="shared" si="3"/>
        <v>2</v>
      </c>
      <c r="J18" s="208" t="str">
        <f t="shared" si="4"/>
        <v>D</v>
      </c>
      <c r="K18" s="210">
        <f t="shared" si="5"/>
        <v>1.6</v>
      </c>
      <c r="L18" s="189"/>
      <c r="M18" s="110"/>
      <c r="N18" s="117"/>
      <c r="O18" s="250" t="str">
        <f t="shared" si="6"/>
        <v>D</v>
      </c>
      <c r="P18" s="249">
        <f>IF('NW - E6'!D7=0,0,IF('NW - E6'!D7&gt;=0,'NW - E6'!D7))</f>
        <v>1.5</v>
      </c>
      <c r="Q18" s="206">
        <f t="shared" si="7"/>
        <v>0.9375</v>
      </c>
      <c r="R18" s="250" t="str">
        <f t="shared" si="8"/>
        <v>D</v>
      </c>
      <c r="S18" s="249">
        <f>IF('NW - E6'!F7=0,0,IF('NW - E6'!F7&gt;=0,'NW - E6'!F7))</f>
        <v>1.7</v>
      </c>
      <c r="T18" s="206">
        <f t="shared" si="9"/>
        <v>1.0625</v>
      </c>
      <c r="U18" s="250" t="str">
        <f t="shared" si="10"/>
        <v>D</v>
      </c>
      <c r="V18" s="249">
        <f>IF('NW - E6'!E7=0,0,IF('NW - E6'!E7&gt;=0,'NW - E6'!E7))</f>
        <v>1.6</v>
      </c>
      <c r="W18" s="206">
        <f t="shared" si="11"/>
        <v>1</v>
      </c>
      <c r="X18" s="250" t="str">
        <f t="shared" si="12"/>
        <v>E</v>
      </c>
      <c r="Y18" s="249">
        <f>IF('NW - E6'!I7=0,0,IF('NW - E6'!I7&gt;=0,'NW - E6'!I7))</f>
        <v>0.6</v>
      </c>
      <c r="Z18" s="206">
        <f t="shared" si="13"/>
        <v>0.37499999999999994</v>
      </c>
      <c r="AA18" s="250" t="str">
        <f t="shared" si="14"/>
        <v>D</v>
      </c>
      <c r="AB18" s="249">
        <f>IF('NW - E6'!H7=0,0,IF('NW - E6'!H7&gt;=0,'NW - E6'!H7))</f>
        <v>1.9</v>
      </c>
      <c r="AC18" s="206">
        <f t="shared" si="15"/>
        <v>1.1874999999999998</v>
      </c>
      <c r="AD18" s="1">
        <f t="shared" ref="AD18:AD52" si="39">IF(J18="","",IF(O18=0,"",IF(Q18&lt;0.8,"",IF(Q18&gt;=0.8,1))))</f>
        <v>1</v>
      </c>
      <c r="AE18" s="1">
        <f t="shared" si="16"/>
        <v>1</v>
      </c>
      <c r="AF18" s="1">
        <f t="shared" si="17"/>
        <v>1</v>
      </c>
      <c r="AG18" s="1" t="str">
        <f t="shared" si="18"/>
        <v/>
      </c>
      <c r="AH18" s="1">
        <f t="shared" si="19"/>
        <v>1</v>
      </c>
      <c r="AI18" s="1">
        <f t="shared" si="20"/>
        <v>4</v>
      </c>
      <c r="AJ18" s="106" t="b">
        <f t="shared" si="21"/>
        <v>0</v>
      </c>
      <c r="AK18" s="106" t="b">
        <f t="shared" si="22"/>
        <v>0</v>
      </c>
      <c r="AL18" s="106" t="b">
        <f t="shared" si="23"/>
        <v>0</v>
      </c>
      <c r="AM18" s="106">
        <f t="shared" si="24"/>
        <v>0.8</v>
      </c>
      <c r="AN18" s="106" t="b">
        <f t="shared" si="25"/>
        <v>0</v>
      </c>
      <c r="AO18" s="106" t="b">
        <f t="shared" ref="AO18:AO52" si="40">IF($J18="1",$AV18)</f>
        <v>0</v>
      </c>
      <c r="AP18" s="106" t="b">
        <f t="shared" si="26"/>
        <v>0</v>
      </c>
      <c r="AQ18" s="106" t="b">
        <f t="shared" si="27"/>
        <v>0</v>
      </c>
      <c r="AR18" s="106" t="b">
        <f t="shared" si="28"/>
        <v>0</v>
      </c>
      <c r="AS18" s="106" t="b">
        <f t="shared" si="29"/>
        <v>0</v>
      </c>
      <c r="AT18" s="148">
        <f t="shared" ref="AT18:AT52" si="41">IF(J18="","",IF(J18&gt;0,COUNT(O18+R18+U18+X18+AA18)))</f>
        <v>0</v>
      </c>
      <c r="AU18" s="198">
        <f t="shared" si="30"/>
        <v>5</v>
      </c>
      <c r="AV18" s="204">
        <f t="shared" si="31"/>
        <v>0.8</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t="str">
        <f>BEGINBLAD!B8</f>
        <v>leerling 3</v>
      </c>
      <c r="C19" s="110" t="str">
        <f>IF('RIO - M6'!C19="","",IF('RIO - M6'!C19&gt;"",'RIO - M6'!C19))</f>
        <v>C</v>
      </c>
      <c r="D19" s="149" t="str">
        <f>IF('NW - E6'!N8="","",IF('NW - E6'!N8="A+","A",IF('NW - E6'!N8="A","A",IF('NW - E6'!N8="B","B",IF('NW - E6'!N8="C","C",IF('NW - E6'!N8="C-","C",IF('NW - E6'!N8="D","D",IF('NW - E6'!N8="E","E"))))))))</f>
        <v/>
      </c>
      <c r="E19" s="110"/>
      <c r="F19" s="192">
        <f t="shared" si="0"/>
        <v>3</v>
      </c>
      <c r="G19" s="192" t="str">
        <f t="shared" si="1"/>
        <v/>
      </c>
      <c r="H19" s="191" t="str">
        <f t="shared" si="2"/>
        <v/>
      </c>
      <c r="I19" s="193">
        <f t="shared" si="3"/>
        <v>3</v>
      </c>
      <c r="J19" s="208" t="str">
        <f t="shared" si="4"/>
        <v>C</v>
      </c>
      <c r="K19" s="210">
        <f t="shared" si="5"/>
        <v>2.4</v>
      </c>
      <c r="L19" s="189"/>
      <c r="M19" s="110"/>
      <c r="N19" s="117"/>
      <c r="O19" s="250">
        <f t="shared" si="6"/>
        <v>0</v>
      </c>
      <c r="P19" s="249">
        <f>IF('NW - E6'!D8=0,0,IF('NW - E6'!D8&gt;=0,'NW - E6'!D8))</f>
        <v>0</v>
      </c>
      <c r="Q19" s="206" t="str">
        <f t="shared" si="7"/>
        <v/>
      </c>
      <c r="R19" s="250">
        <f t="shared" si="8"/>
        <v>0</v>
      </c>
      <c r="S19" s="249">
        <f>IF('NW - E6'!F8=0,0,IF('NW - E6'!F8&gt;=0,'NW - E6'!F8))</f>
        <v>0</v>
      </c>
      <c r="T19" s="206" t="str">
        <f t="shared" si="9"/>
        <v/>
      </c>
      <c r="U19" s="250">
        <f t="shared" si="10"/>
        <v>0</v>
      </c>
      <c r="V19" s="249">
        <f>IF('NW - E6'!E8=0,0,IF('NW - E6'!E8&gt;=0,'NW - E6'!E8))</f>
        <v>0</v>
      </c>
      <c r="W19" s="206" t="str">
        <f t="shared" si="11"/>
        <v/>
      </c>
      <c r="X19" s="250">
        <f t="shared" si="12"/>
        <v>0</v>
      </c>
      <c r="Y19" s="249">
        <f>IF('NW - E6'!I8=0,0,IF('NW - E6'!I8&gt;=0,'NW - E6'!I8))</f>
        <v>0</v>
      </c>
      <c r="Z19" s="206" t="str">
        <f t="shared" si="13"/>
        <v/>
      </c>
      <c r="AA19" s="250">
        <f t="shared" si="14"/>
        <v>0</v>
      </c>
      <c r="AB19" s="249">
        <f>IF('NW - E6'!H8=0,0,IF('NW - E6'!H8&gt;=0,'NW - E6'!H8))</f>
        <v>0</v>
      </c>
      <c r="AC19" s="206" t="str">
        <f t="shared" si="15"/>
        <v/>
      </c>
      <c r="AD19" s="1" t="str">
        <f t="shared" si="39"/>
        <v/>
      </c>
      <c r="AE19" s="1" t="str">
        <f t="shared" si="16"/>
        <v/>
      </c>
      <c r="AF19" s="1" t="str">
        <f t="shared" si="17"/>
        <v/>
      </c>
      <c r="AG19" s="1" t="str">
        <f t="shared" si="18"/>
        <v/>
      </c>
      <c r="AH19" s="1" t="str">
        <f t="shared" si="19"/>
        <v/>
      </c>
      <c r="AI19" s="1">
        <f t="shared" si="20"/>
        <v>0</v>
      </c>
      <c r="AJ19" s="106" t="b">
        <f t="shared" si="21"/>
        <v>0</v>
      </c>
      <c r="AK19" s="106" t="b">
        <f t="shared" si="22"/>
        <v>0</v>
      </c>
      <c r="AL19" s="106">
        <f t="shared" si="23"/>
        <v>0</v>
      </c>
      <c r="AM19" s="106" t="b">
        <f t="shared" si="24"/>
        <v>0</v>
      </c>
      <c r="AN19" s="106" t="b">
        <f t="shared" si="25"/>
        <v>0</v>
      </c>
      <c r="AO19" s="106" t="b">
        <f t="shared" si="40"/>
        <v>0</v>
      </c>
      <c r="AP19" s="106" t="b">
        <f t="shared" si="26"/>
        <v>0</v>
      </c>
      <c r="AQ19" s="106" t="b">
        <f t="shared" si="27"/>
        <v>0</v>
      </c>
      <c r="AR19" s="106" t="b">
        <f t="shared" si="28"/>
        <v>0</v>
      </c>
      <c r="AS19" s="106" t="b">
        <f t="shared" si="29"/>
        <v>0</v>
      </c>
      <c r="AT19" s="148">
        <f t="shared" si="41"/>
        <v>1</v>
      </c>
      <c r="AU19" s="198">
        <f t="shared" si="30"/>
        <v>4</v>
      </c>
      <c r="AV19" s="204">
        <f t="shared" si="31"/>
        <v>0</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M6'!C20="","",IF('RIO - M6'!C20&gt;"",'RIO - M6'!C20))</f>
        <v/>
      </c>
      <c r="D20" s="149" t="str">
        <f>IF('NW - E6'!N9="","",IF('NW - E6'!N9="A+","A",IF('NW - E6'!N9="A","A",IF('NW - E6'!N9="B","B",IF('NW - E6'!N9="C","C",IF('NW - E6'!N9="C-","C",IF('NW - E6'!N9="D","D",IF('NW - E6'!N9="E","E"))))))))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E6'!D9=0,0,IF('NW - E6'!D9&gt;=0,'NW - E6'!D9))</f>
        <v>0</v>
      </c>
      <c r="Q20" s="206" t="str">
        <f t="shared" si="7"/>
        <v/>
      </c>
      <c r="R20" s="250">
        <f t="shared" si="8"/>
        <v>0</v>
      </c>
      <c r="S20" s="249">
        <f>IF('NW - E6'!F9=0,0,IF('NW - E6'!F9&gt;=0,'NW - E6'!F9))</f>
        <v>0</v>
      </c>
      <c r="T20" s="206" t="str">
        <f t="shared" si="9"/>
        <v/>
      </c>
      <c r="U20" s="250">
        <f t="shared" si="10"/>
        <v>0</v>
      </c>
      <c r="V20" s="249">
        <f>IF('NW - E6'!E9=0,0,IF('NW - E6'!E9&gt;=0,'NW - E6'!E9))</f>
        <v>0</v>
      </c>
      <c r="W20" s="206" t="str">
        <f t="shared" si="11"/>
        <v/>
      </c>
      <c r="X20" s="250">
        <f t="shared" si="12"/>
        <v>0</v>
      </c>
      <c r="Y20" s="249">
        <f>IF('NW - E6'!I9=0,0,IF('NW - E6'!I9&gt;=0,'NW - E6'!I9))</f>
        <v>0</v>
      </c>
      <c r="Z20" s="206" t="str">
        <f t="shared" si="13"/>
        <v/>
      </c>
      <c r="AA20" s="250">
        <f t="shared" si="14"/>
        <v>0</v>
      </c>
      <c r="AB20" s="249">
        <f>IF('NW - E6'!H9=0,0,IF('NW - E6'!H9&gt;=0,'NW - E6'!H9))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M6'!C21="","",IF('RIO - M6'!C21&gt;"",'RIO - M6'!C21))</f>
        <v/>
      </c>
      <c r="D21" s="149" t="str">
        <f>IF('NW - E6'!N10="","",IF('NW - E6'!N10="A+","A",IF('NW - E6'!N10="A","A",IF('NW - E6'!N10="B","B",IF('NW - E6'!N10="C","C",IF('NW - E6'!N10="C-","C",IF('NW - E6'!N10="D","D",IF('NW - E6'!N10="E","E"))))))))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E6'!D10=0,0,IF('NW - E6'!D10&gt;=0,'NW - E6'!D10))</f>
        <v>0</v>
      </c>
      <c r="Q21" s="206" t="str">
        <f t="shared" si="7"/>
        <v/>
      </c>
      <c r="R21" s="250">
        <f t="shared" si="8"/>
        <v>0</v>
      </c>
      <c r="S21" s="249">
        <f>IF('NW - E6'!F10=0,0,IF('NW - E6'!F10&gt;=0,'NW - E6'!F10))</f>
        <v>0</v>
      </c>
      <c r="T21" s="206" t="str">
        <f t="shared" si="9"/>
        <v/>
      </c>
      <c r="U21" s="250">
        <f t="shared" si="10"/>
        <v>0</v>
      </c>
      <c r="V21" s="249">
        <f>IF('NW - E6'!E10=0,0,IF('NW - E6'!E10&gt;=0,'NW - E6'!E10))</f>
        <v>0</v>
      </c>
      <c r="W21" s="206" t="str">
        <f t="shared" si="11"/>
        <v/>
      </c>
      <c r="X21" s="250">
        <f t="shared" si="12"/>
        <v>0</v>
      </c>
      <c r="Y21" s="249">
        <f>IF('NW - E6'!I10=0,0,IF('NW - E6'!I10&gt;=0,'NW - E6'!I10))</f>
        <v>0</v>
      </c>
      <c r="Z21" s="206" t="str">
        <f t="shared" si="13"/>
        <v/>
      </c>
      <c r="AA21" s="250">
        <f t="shared" si="14"/>
        <v>0</v>
      </c>
      <c r="AB21" s="249">
        <f>IF('NW - E6'!H10=0,0,IF('NW - E6'!H10&gt;=0,'NW - E6'!H10))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M6'!C22="","",IF('RIO - M6'!C22&gt;"",'RIO - M6'!C22))</f>
        <v/>
      </c>
      <c r="D22" s="149" t="str">
        <f>IF('NW - E6'!N11="","",IF('NW - E6'!N11="A+","A",IF('NW - E6'!N11="A","A",IF('NW - E6'!N11="B","B",IF('NW - E6'!N11="C","C",IF('NW - E6'!N11="C-","C",IF('NW - E6'!N11="D","D",IF('NW - E6'!N11="E","E"))))))))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E6'!D11=0,0,IF('NW - E6'!D11&gt;=0,'NW - E6'!D11))</f>
        <v>0</v>
      </c>
      <c r="Q22" s="206" t="str">
        <f t="shared" si="7"/>
        <v/>
      </c>
      <c r="R22" s="250">
        <f t="shared" si="8"/>
        <v>0</v>
      </c>
      <c r="S22" s="249">
        <f>IF('NW - E6'!F11=0,0,IF('NW - E6'!F11&gt;=0,'NW - E6'!F11))</f>
        <v>0</v>
      </c>
      <c r="T22" s="206" t="str">
        <f t="shared" si="9"/>
        <v/>
      </c>
      <c r="U22" s="250">
        <f t="shared" si="10"/>
        <v>0</v>
      </c>
      <c r="V22" s="249">
        <f>IF('NW - E6'!E11=0,0,IF('NW - E6'!E11&gt;=0,'NW - E6'!E11))</f>
        <v>0</v>
      </c>
      <c r="W22" s="206" t="str">
        <f t="shared" si="11"/>
        <v/>
      </c>
      <c r="X22" s="250">
        <f t="shared" si="12"/>
        <v>0</v>
      </c>
      <c r="Y22" s="249">
        <f>IF('NW - E6'!I11=0,0,IF('NW - E6'!I11&gt;=0,'NW - E6'!I11))</f>
        <v>0</v>
      </c>
      <c r="Z22" s="206" t="str">
        <f t="shared" si="13"/>
        <v/>
      </c>
      <c r="AA22" s="250">
        <f t="shared" si="14"/>
        <v>0</v>
      </c>
      <c r="AB22" s="249">
        <f>IF('NW - E6'!H11=0,0,IF('NW - E6'!H11&gt;=0,'NW - E6'!H11))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M6'!C23="","",IF('RIO - M6'!C23&gt;"",'RIO - M6'!C23))</f>
        <v/>
      </c>
      <c r="D23" s="149" t="str">
        <f>IF('NW - E6'!N12="","",IF('NW - E6'!N12="A+","A",IF('NW - E6'!N12="A","A",IF('NW - E6'!N12="B","B",IF('NW - E6'!N12="C","C",IF('NW - E6'!N12="C-","C",IF('NW - E6'!N12="D","D",IF('NW - E6'!N12="E","E"))))))))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E6'!D12=0,0,IF('NW - E6'!D12&gt;=0,'NW - E6'!D12))</f>
        <v>0</v>
      </c>
      <c r="Q23" s="206" t="str">
        <f t="shared" si="7"/>
        <v/>
      </c>
      <c r="R23" s="250">
        <f t="shared" si="8"/>
        <v>0</v>
      </c>
      <c r="S23" s="249">
        <f>IF('NW - E6'!F12=0,0,IF('NW - E6'!F12&gt;=0,'NW - E6'!F12))</f>
        <v>0</v>
      </c>
      <c r="T23" s="206" t="str">
        <f t="shared" si="9"/>
        <v/>
      </c>
      <c r="U23" s="250">
        <f t="shared" si="10"/>
        <v>0</v>
      </c>
      <c r="V23" s="249">
        <f>IF('NW - E6'!E12=0,0,IF('NW - E6'!E12&gt;=0,'NW - E6'!E12))</f>
        <v>0</v>
      </c>
      <c r="W23" s="206" t="str">
        <f t="shared" si="11"/>
        <v/>
      </c>
      <c r="X23" s="250">
        <f t="shared" si="12"/>
        <v>0</v>
      </c>
      <c r="Y23" s="249">
        <f>IF('NW - E6'!I12=0,0,IF('NW - E6'!I12&gt;=0,'NW - E6'!I12))</f>
        <v>0</v>
      </c>
      <c r="Z23" s="206" t="str">
        <f t="shared" si="13"/>
        <v/>
      </c>
      <c r="AA23" s="250">
        <f t="shared" si="14"/>
        <v>0</v>
      </c>
      <c r="AB23" s="249">
        <f>IF('NW - E6'!H12=0,0,IF('NW - E6'!H12&gt;=0,'NW - E6'!H12))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M6'!C24="","",IF('RIO - M6'!C24&gt;"",'RIO - M6'!C24))</f>
        <v/>
      </c>
      <c r="D24" s="149" t="str">
        <f>IF('NW - E6'!N13="","",IF('NW - E6'!N13="A+","A",IF('NW - E6'!N13="A","A",IF('NW - E6'!N13="B","B",IF('NW - E6'!N13="C","C",IF('NW - E6'!N13="C-","C",IF('NW - E6'!N13="D","D",IF('NW - E6'!N13="E","E"))))))))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E6'!D13=0,0,IF('NW - E6'!D13&gt;=0,'NW - E6'!D13))</f>
        <v>0</v>
      </c>
      <c r="Q24" s="206" t="str">
        <f t="shared" si="7"/>
        <v/>
      </c>
      <c r="R24" s="250">
        <f t="shared" si="8"/>
        <v>0</v>
      </c>
      <c r="S24" s="249">
        <f>IF('NW - E6'!F13=0,0,IF('NW - E6'!F13&gt;=0,'NW - E6'!F13))</f>
        <v>0</v>
      </c>
      <c r="T24" s="206" t="str">
        <f t="shared" si="9"/>
        <v/>
      </c>
      <c r="U24" s="250">
        <f t="shared" si="10"/>
        <v>0</v>
      </c>
      <c r="V24" s="249">
        <f>IF('NW - E6'!E13=0,0,IF('NW - E6'!E13&gt;=0,'NW - E6'!E13))</f>
        <v>0</v>
      </c>
      <c r="W24" s="206" t="str">
        <f t="shared" si="11"/>
        <v/>
      </c>
      <c r="X24" s="250">
        <f t="shared" si="12"/>
        <v>0</v>
      </c>
      <c r="Y24" s="249">
        <f>IF('NW - E6'!I13=0,0,IF('NW - E6'!I13&gt;=0,'NW - E6'!I13))</f>
        <v>0</v>
      </c>
      <c r="Z24" s="206" t="str">
        <f t="shared" si="13"/>
        <v/>
      </c>
      <c r="AA24" s="250">
        <f t="shared" si="14"/>
        <v>0</v>
      </c>
      <c r="AB24" s="249">
        <f>IF('NW - E6'!H13=0,0,IF('NW - E6'!H13&gt;=0,'NW - E6'!H13))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M6'!C25="","",IF('RIO - M6'!C25&gt;"",'RIO - M6'!C25))</f>
        <v/>
      </c>
      <c r="D25" s="149" t="str">
        <f>IF('NW - E6'!N14="","",IF('NW - E6'!N14="A+","A",IF('NW - E6'!N14="A","A",IF('NW - E6'!N14="B","B",IF('NW - E6'!N14="C","C",IF('NW - E6'!N14="C-","C",IF('NW - E6'!N14="D","D",IF('NW - E6'!N14="E","E"))))))))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E6'!D14=0,0,IF('NW - E6'!D14&gt;=0,'NW - E6'!D14))</f>
        <v>0</v>
      </c>
      <c r="Q25" s="206" t="str">
        <f t="shared" si="7"/>
        <v/>
      </c>
      <c r="R25" s="250">
        <f t="shared" si="8"/>
        <v>0</v>
      </c>
      <c r="S25" s="249">
        <f>IF('NW - E6'!F14=0,0,IF('NW - E6'!F14&gt;=0,'NW - E6'!F14))</f>
        <v>0</v>
      </c>
      <c r="T25" s="206" t="str">
        <f t="shared" si="9"/>
        <v/>
      </c>
      <c r="U25" s="250">
        <f t="shared" si="10"/>
        <v>0</v>
      </c>
      <c r="V25" s="249">
        <f>IF('NW - E6'!E14=0,0,IF('NW - E6'!E14&gt;=0,'NW - E6'!E14))</f>
        <v>0</v>
      </c>
      <c r="W25" s="206" t="str">
        <f t="shared" si="11"/>
        <v/>
      </c>
      <c r="X25" s="250">
        <f t="shared" si="12"/>
        <v>0</v>
      </c>
      <c r="Y25" s="249">
        <f>IF('NW - E6'!I14=0,0,IF('NW - E6'!I14&gt;=0,'NW - E6'!I14))</f>
        <v>0</v>
      </c>
      <c r="Z25" s="206" t="str">
        <f t="shared" si="13"/>
        <v/>
      </c>
      <c r="AA25" s="250">
        <f t="shared" si="14"/>
        <v>0</v>
      </c>
      <c r="AB25" s="249">
        <f>IF('NW - E6'!H14=0,0,IF('NW - E6'!H14&gt;=0,'NW - E6'!H14))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M6'!C26="","",IF('RIO - M6'!C26&gt;"",'RIO - M6'!C26))</f>
        <v/>
      </c>
      <c r="D26" s="149" t="str">
        <f>IF('NW - E6'!N15="","",IF('NW - E6'!N15="A+","A",IF('NW - E6'!N15="A","A",IF('NW - E6'!N15="B","B",IF('NW - E6'!N15="C","C",IF('NW - E6'!N15="C-","C",IF('NW - E6'!N15="D","D",IF('NW - E6'!N15="E","E"))))))))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E6'!D15=0,0,IF('NW - E6'!D15&gt;=0,'NW - E6'!D15))</f>
        <v>0</v>
      </c>
      <c r="Q26" s="206" t="str">
        <f t="shared" si="7"/>
        <v/>
      </c>
      <c r="R26" s="250">
        <f t="shared" si="8"/>
        <v>0</v>
      </c>
      <c r="S26" s="249">
        <f>IF('NW - E6'!F15=0,0,IF('NW - E6'!F15&gt;=0,'NW - E6'!F15))</f>
        <v>0</v>
      </c>
      <c r="T26" s="206" t="str">
        <f t="shared" si="9"/>
        <v/>
      </c>
      <c r="U26" s="250">
        <f t="shared" si="10"/>
        <v>0</v>
      </c>
      <c r="V26" s="249">
        <f>IF('NW - E6'!E15=0,0,IF('NW - E6'!E15&gt;=0,'NW - E6'!E15))</f>
        <v>0</v>
      </c>
      <c r="W26" s="206" t="str">
        <f t="shared" si="11"/>
        <v/>
      </c>
      <c r="X26" s="250">
        <f t="shared" si="12"/>
        <v>0</v>
      </c>
      <c r="Y26" s="249">
        <f>IF('NW - E6'!I15=0,0,IF('NW - E6'!I15&gt;=0,'NW - E6'!I15))</f>
        <v>0</v>
      </c>
      <c r="Z26" s="206" t="str">
        <f t="shared" si="13"/>
        <v/>
      </c>
      <c r="AA26" s="250">
        <f t="shared" si="14"/>
        <v>0</v>
      </c>
      <c r="AB26" s="249">
        <f>IF('NW - E6'!H15=0,0,IF('NW - E6'!H15&gt;=0,'NW - E6'!H15))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M6'!C27="","",IF('RIO - M6'!C27&gt;"",'RIO - M6'!C27))</f>
        <v/>
      </c>
      <c r="D27" s="149" t="str">
        <f>IF('NW - E6'!N16="","",IF('NW - E6'!N16="A+","A",IF('NW - E6'!N16="A","A",IF('NW - E6'!N16="B","B",IF('NW - E6'!N16="C","C",IF('NW - E6'!N16="C-","C",IF('NW - E6'!N16="D","D",IF('NW - E6'!N16="E","E"))))))))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E6'!D16=0,0,IF('NW - E6'!D16&gt;=0,'NW - E6'!D16))</f>
        <v>0</v>
      </c>
      <c r="Q27" s="206" t="str">
        <f t="shared" si="7"/>
        <v/>
      </c>
      <c r="R27" s="250">
        <f t="shared" si="8"/>
        <v>0</v>
      </c>
      <c r="S27" s="249">
        <f>IF('NW - E6'!F16=0,0,IF('NW - E6'!F16&gt;=0,'NW - E6'!F16))</f>
        <v>0</v>
      </c>
      <c r="T27" s="206" t="str">
        <f t="shared" si="9"/>
        <v/>
      </c>
      <c r="U27" s="250">
        <f t="shared" si="10"/>
        <v>0</v>
      </c>
      <c r="V27" s="249">
        <f>IF('NW - E6'!E16=0,0,IF('NW - E6'!E16&gt;=0,'NW - E6'!E16))</f>
        <v>0</v>
      </c>
      <c r="W27" s="206" t="str">
        <f t="shared" si="11"/>
        <v/>
      </c>
      <c r="X27" s="250">
        <f t="shared" si="12"/>
        <v>0</v>
      </c>
      <c r="Y27" s="249">
        <f>IF('NW - E6'!I16=0,0,IF('NW - E6'!I16&gt;=0,'NW - E6'!I16))</f>
        <v>0</v>
      </c>
      <c r="Z27" s="206" t="str">
        <f t="shared" si="13"/>
        <v/>
      </c>
      <c r="AA27" s="250">
        <f t="shared" si="14"/>
        <v>0</v>
      </c>
      <c r="AB27" s="249">
        <f>IF('NW - E6'!H16=0,0,IF('NW - E6'!H16&gt;=0,'NW - E6'!H16))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M6'!C28="","",IF('RIO - M6'!C28&gt;"",'RIO - M6'!C28))</f>
        <v/>
      </c>
      <c r="D28" s="149" t="str">
        <f>IF('NW - E6'!N17="","",IF('NW - E6'!N17="A+","A",IF('NW - E6'!N17="A","A",IF('NW - E6'!N17="B","B",IF('NW - E6'!N17="C","C",IF('NW - E6'!N17="C-","C",IF('NW - E6'!N17="D","D",IF('NW - E6'!N17="E","E"))))))))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E6'!D17=0,0,IF('NW - E6'!D17&gt;=0,'NW - E6'!D17))</f>
        <v>0</v>
      </c>
      <c r="Q28" s="206" t="str">
        <f t="shared" si="7"/>
        <v/>
      </c>
      <c r="R28" s="250">
        <f t="shared" si="8"/>
        <v>0</v>
      </c>
      <c r="S28" s="249">
        <f>IF('NW - E6'!F17=0,0,IF('NW - E6'!F17&gt;=0,'NW - E6'!F17))</f>
        <v>0</v>
      </c>
      <c r="T28" s="206" t="str">
        <f t="shared" si="9"/>
        <v/>
      </c>
      <c r="U28" s="250">
        <f t="shared" si="10"/>
        <v>0</v>
      </c>
      <c r="V28" s="249">
        <f>IF('NW - E6'!E17=0,0,IF('NW - E6'!E17&gt;=0,'NW - E6'!E17))</f>
        <v>0</v>
      </c>
      <c r="W28" s="206" t="str">
        <f t="shared" si="11"/>
        <v/>
      </c>
      <c r="X28" s="250">
        <f t="shared" si="12"/>
        <v>0</v>
      </c>
      <c r="Y28" s="249">
        <f>IF('NW - E6'!I17=0,0,IF('NW - E6'!I17&gt;=0,'NW - E6'!I17))</f>
        <v>0</v>
      </c>
      <c r="Z28" s="206" t="str">
        <f t="shared" si="13"/>
        <v/>
      </c>
      <c r="AA28" s="250">
        <f t="shared" si="14"/>
        <v>0</v>
      </c>
      <c r="AB28" s="249">
        <f>IF('NW - E6'!H17=0,0,IF('NW - E6'!H17&gt;=0,'NW - E6'!H17))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M6'!C29="","",IF('RIO - M6'!C29&gt;"",'RIO - M6'!C29))</f>
        <v/>
      </c>
      <c r="D29" s="149" t="str">
        <f>IF('NW - E6'!N18="","",IF('NW - E6'!N18="A+","A",IF('NW - E6'!N18="A","A",IF('NW - E6'!N18="B","B",IF('NW - E6'!N18="C","C",IF('NW - E6'!N18="C-","C",IF('NW - E6'!N18="D","D",IF('NW - E6'!N18="E","E"))))))))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E6'!D18=0,0,IF('NW - E6'!D18&gt;=0,'NW - E6'!D18))</f>
        <v>0</v>
      </c>
      <c r="Q29" s="206" t="str">
        <f t="shared" si="7"/>
        <v/>
      </c>
      <c r="R29" s="250">
        <f t="shared" si="8"/>
        <v>0</v>
      </c>
      <c r="S29" s="249">
        <f>IF('NW - E6'!F18=0,0,IF('NW - E6'!F18&gt;=0,'NW - E6'!F18))</f>
        <v>0</v>
      </c>
      <c r="T29" s="206" t="str">
        <f t="shared" si="9"/>
        <v/>
      </c>
      <c r="U29" s="250">
        <f t="shared" si="10"/>
        <v>0</v>
      </c>
      <c r="V29" s="249">
        <f>IF('NW - E6'!E18=0,0,IF('NW - E6'!E18&gt;=0,'NW - E6'!E18))</f>
        <v>0</v>
      </c>
      <c r="W29" s="206" t="str">
        <f t="shared" si="11"/>
        <v/>
      </c>
      <c r="X29" s="250">
        <f t="shared" si="12"/>
        <v>0</v>
      </c>
      <c r="Y29" s="249">
        <f>IF('NW - E6'!I18=0,0,IF('NW - E6'!I18&gt;=0,'NW - E6'!I18))</f>
        <v>0</v>
      </c>
      <c r="Z29" s="206" t="str">
        <f t="shared" si="13"/>
        <v/>
      </c>
      <c r="AA29" s="250">
        <f t="shared" si="14"/>
        <v>0</v>
      </c>
      <c r="AB29" s="249">
        <f>IF('NW - E6'!H18=0,0,IF('NW - E6'!H18&gt;=0,'NW - E6'!H18))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M6'!C30="","",IF('RIO - M6'!C30&gt;"",'RIO - M6'!C30))</f>
        <v/>
      </c>
      <c r="D30" s="149" t="str">
        <f>IF('NW - E6'!N19="","",IF('NW - E6'!N19="A+","A",IF('NW - E6'!N19="A","A",IF('NW - E6'!N19="B","B",IF('NW - E6'!N19="C","C",IF('NW - E6'!N19="C-","C",IF('NW - E6'!N19="D","D",IF('NW - E6'!N19="E","E"))))))))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E6'!D19=0,0,IF('NW - E6'!D19&gt;=0,'NW - E6'!D19))</f>
        <v>0</v>
      </c>
      <c r="Q30" s="206" t="str">
        <f t="shared" si="7"/>
        <v/>
      </c>
      <c r="R30" s="250">
        <f t="shared" si="8"/>
        <v>0</v>
      </c>
      <c r="S30" s="249">
        <f>IF('NW - E6'!F19=0,0,IF('NW - E6'!F19&gt;=0,'NW - E6'!F19))</f>
        <v>0</v>
      </c>
      <c r="T30" s="206" t="str">
        <f t="shared" si="9"/>
        <v/>
      </c>
      <c r="U30" s="250">
        <f t="shared" si="10"/>
        <v>0</v>
      </c>
      <c r="V30" s="249">
        <f>IF('NW - E6'!E19=0,0,IF('NW - E6'!E19&gt;=0,'NW - E6'!E19))</f>
        <v>0</v>
      </c>
      <c r="W30" s="206" t="str">
        <f t="shared" si="11"/>
        <v/>
      </c>
      <c r="X30" s="250">
        <f t="shared" si="12"/>
        <v>0</v>
      </c>
      <c r="Y30" s="249">
        <f>IF('NW - E6'!I19=0,0,IF('NW - E6'!I19&gt;=0,'NW - E6'!I19))</f>
        <v>0</v>
      </c>
      <c r="Z30" s="206" t="str">
        <f t="shared" si="13"/>
        <v/>
      </c>
      <c r="AA30" s="250">
        <f t="shared" si="14"/>
        <v>0</v>
      </c>
      <c r="AB30" s="249">
        <f>IF('NW - E6'!H19=0,0,IF('NW - E6'!H19&gt;=0,'NW - E6'!H19))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M6'!C31="","",IF('RIO - M6'!C31&gt;"",'RIO - M6'!C31))</f>
        <v/>
      </c>
      <c r="D31" s="149" t="str">
        <f>IF('NW - E6'!N20="","",IF('NW - E6'!N20="A+","A",IF('NW - E6'!N20="A","A",IF('NW - E6'!N20="B","B",IF('NW - E6'!N20="C","C",IF('NW - E6'!N20="C-","C",IF('NW - E6'!N20="D","D",IF('NW - E6'!N20="E","E"))))))))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E6'!D20=0,0,IF('NW - E6'!D20&gt;=0,'NW - E6'!D20))</f>
        <v>0</v>
      </c>
      <c r="Q31" s="206" t="str">
        <f t="shared" si="7"/>
        <v/>
      </c>
      <c r="R31" s="250">
        <f t="shared" si="8"/>
        <v>0</v>
      </c>
      <c r="S31" s="249">
        <f>IF('NW - E6'!F20=0,0,IF('NW - E6'!F20&gt;=0,'NW - E6'!F20))</f>
        <v>0</v>
      </c>
      <c r="T31" s="206" t="str">
        <f t="shared" si="9"/>
        <v/>
      </c>
      <c r="U31" s="250">
        <f t="shared" si="10"/>
        <v>0</v>
      </c>
      <c r="V31" s="249">
        <f>IF('NW - E6'!E20=0,0,IF('NW - E6'!E20&gt;=0,'NW - E6'!E20))</f>
        <v>0</v>
      </c>
      <c r="W31" s="206" t="str">
        <f t="shared" si="11"/>
        <v/>
      </c>
      <c r="X31" s="250">
        <f t="shared" si="12"/>
        <v>0</v>
      </c>
      <c r="Y31" s="249">
        <f>IF('NW - E6'!I20=0,0,IF('NW - E6'!I20&gt;=0,'NW - E6'!I20))</f>
        <v>0</v>
      </c>
      <c r="Z31" s="206" t="str">
        <f t="shared" si="13"/>
        <v/>
      </c>
      <c r="AA31" s="250">
        <f t="shared" si="14"/>
        <v>0</v>
      </c>
      <c r="AB31" s="249">
        <f>IF('NW - E6'!H20=0,0,IF('NW - E6'!H20&gt;=0,'NW - E6'!H20))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M6'!C32="","",IF('RIO - M6'!C32&gt;"",'RIO - M6'!C32))</f>
        <v/>
      </c>
      <c r="D32" s="149" t="str">
        <f>IF('NW - E6'!N21="","",IF('NW - E6'!N21="A+","A",IF('NW - E6'!N21="A","A",IF('NW - E6'!N21="B","B",IF('NW - E6'!N21="C","C",IF('NW - E6'!N21="C-","C",IF('NW - E6'!N21="D","D",IF('NW - E6'!N21="E","E"))))))))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E6'!D21=0,0,IF('NW - E6'!D21&gt;=0,'NW - E6'!D21))</f>
        <v>0</v>
      </c>
      <c r="Q32" s="206" t="str">
        <f t="shared" si="7"/>
        <v/>
      </c>
      <c r="R32" s="250">
        <f t="shared" si="8"/>
        <v>0</v>
      </c>
      <c r="S32" s="249">
        <f>IF('NW - E6'!F21=0,0,IF('NW - E6'!F21&gt;=0,'NW - E6'!F21))</f>
        <v>0</v>
      </c>
      <c r="T32" s="206" t="str">
        <f t="shared" si="9"/>
        <v/>
      </c>
      <c r="U32" s="250">
        <f t="shared" si="10"/>
        <v>0</v>
      </c>
      <c r="V32" s="249">
        <f>IF('NW - E6'!E21=0,0,IF('NW - E6'!E21&gt;=0,'NW - E6'!E21))</f>
        <v>0</v>
      </c>
      <c r="W32" s="206" t="str">
        <f t="shared" si="11"/>
        <v/>
      </c>
      <c r="X32" s="250">
        <f t="shared" si="12"/>
        <v>0</v>
      </c>
      <c r="Y32" s="249">
        <f>IF('NW - E6'!I21=0,0,IF('NW - E6'!I21&gt;=0,'NW - E6'!I21))</f>
        <v>0</v>
      </c>
      <c r="Z32" s="206" t="str">
        <f t="shared" si="13"/>
        <v/>
      </c>
      <c r="AA32" s="250">
        <f t="shared" si="14"/>
        <v>0</v>
      </c>
      <c r="AB32" s="249">
        <f>IF('NW - E6'!H21=0,0,IF('NW - E6'!H21&gt;=0,'NW - E6'!H21))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M6'!C33="","",IF('RIO - M6'!C33&gt;"",'RIO - M6'!C33))</f>
        <v/>
      </c>
      <c r="D33" s="149" t="str">
        <f>IF('NW - E6'!N22="","",IF('NW - E6'!N22="A+","A",IF('NW - E6'!N22="A","A",IF('NW - E6'!N22="B","B",IF('NW - E6'!N22="C","C",IF('NW - E6'!N22="C-","C",IF('NW - E6'!N22="D","D",IF('NW - E6'!N22="E","E"))))))))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E6'!D22=0,0,IF('NW - E6'!D22&gt;=0,'NW - E6'!D22))</f>
        <v>0</v>
      </c>
      <c r="Q33" s="206" t="str">
        <f t="shared" si="7"/>
        <v/>
      </c>
      <c r="R33" s="250">
        <f t="shared" si="8"/>
        <v>0</v>
      </c>
      <c r="S33" s="249">
        <f>IF('NW - E6'!F22=0,0,IF('NW - E6'!F22&gt;=0,'NW - E6'!F22))</f>
        <v>0</v>
      </c>
      <c r="T33" s="206" t="str">
        <f t="shared" si="9"/>
        <v/>
      </c>
      <c r="U33" s="250">
        <f t="shared" si="10"/>
        <v>0</v>
      </c>
      <c r="V33" s="249">
        <f>IF('NW - E6'!E22=0,0,IF('NW - E6'!E22&gt;=0,'NW - E6'!E22))</f>
        <v>0</v>
      </c>
      <c r="W33" s="206" t="str">
        <f t="shared" si="11"/>
        <v/>
      </c>
      <c r="X33" s="250">
        <f t="shared" si="12"/>
        <v>0</v>
      </c>
      <c r="Y33" s="249">
        <f>IF('NW - E6'!I22=0,0,IF('NW - E6'!I22&gt;=0,'NW - E6'!I22))</f>
        <v>0</v>
      </c>
      <c r="Z33" s="206" t="str">
        <f t="shared" si="13"/>
        <v/>
      </c>
      <c r="AA33" s="250">
        <f t="shared" si="14"/>
        <v>0</v>
      </c>
      <c r="AB33" s="249">
        <f>IF('NW - E6'!H22=0,0,IF('NW - E6'!H22&gt;=0,'NW - E6'!H22))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M6'!C34="","",IF('RIO - M6'!C34&gt;"",'RIO - M6'!C34))</f>
        <v/>
      </c>
      <c r="D34" s="149" t="str">
        <f>IF('NW - E6'!N23="","",IF('NW - E6'!N23="A+","A",IF('NW - E6'!N23="A","A",IF('NW - E6'!N23="B","B",IF('NW - E6'!N23="C","C",IF('NW - E6'!N23="C-","C",IF('NW - E6'!N23="D","D",IF('NW - E6'!N23="E","E"))))))))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E6'!D23=0,0,IF('NW - E6'!D23&gt;=0,'NW - E6'!D23))</f>
        <v>0</v>
      </c>
      <c r="Q34" s="206" t="str">
        <f t="shared" si="7"/>
        <v/>
      </c>
      <c r="R34" s="250">
        <f t="shared" si="8"/>
        <v>0</v>
      </c>
      <c r="S34" s="249">
        <f>IF('NW - E6'!F23=0,0,IF('NW - E6'!F23&gt;=0,'NW - E6'!F23))</f>
        <v>0</v>
      </c>
      <c r="T34" s="206" t="str">
        <f t="shared" si="9"/>
        <v/>
      </c>
      <c r="U34" s="250">
        <f t="shared" si="10"/>
        <v>0</v>
      </c>
      <c r="V34" s="249">
        <f>IF('NW - E6'!E23=0,0,IF('NW - E6'!E23&gt;=0,'NW - E6'!E23))</f>
        <v>0</v>
      </c>
      <c r="W34" s="206" t="str">
        <f t="shared" si="11"/>
        <v/>
      </c>
      <c r="X34" s="250">
        <f t="shared" si="12"/>
        <v>0</v>
      </c>
      <c r="Y34" s="249">
        <f>IF('NW - E6'!I23=0,0,IF('NW - E6'!I23&gt;=0,'NW - E6'!I23))</f>
        <v>0</v>
      </c>
      <c r="Z34" s="206" t="str">
        <f t="shared" si="13"/>
        <v/>
      </c>
      <c r="AA34" s="250">
        <f t="shared" si="14"/>
        <v>0</v>
      </c>
      <c r="AB34" s="249">
        <f>IF('NW - E6'!H23=0,0,IF('NW - E6'!H23&gt;=0,'NW - E6'!H23))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M6'!C35="","",IF('RIO - M6'!C35&gt;"",'RIO - M6'!C35))</f>
        <v/>
      </c>
      <c r="D35" s="149" t="str">
        <f>IF('NW - E6'!N24="","",IF('NW - E6'!N24="A+","A",IF('NW - E6'!N24="A","A",IF('NW - E6'!N24="B","B",IF('NW - E6'!N24="C","C",IF('NW - E6'!N24="C-","C",IF('NW - E6'!N24="D","D",IF('NW - E6'!N24="E","E"))))))))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E6'!D24=0,0,IF('NW - E6'!D24&gt;=0,'NW - E6'!D24))</f>
        <v>0</v>
      </c>
      <c r="Q35" s="206" t="str">
        <f t="shared" si="7"/>
        <v/>
      </c>
      <c r="R35" s="250">
        <f t="shared" si="8"/>
        <v>0</v>
      </c>
      <c r="S35" s="249">
        <f>IF('NW - E6'!F24=0,0,IF('NW - E6'!F24&gt;=0,'NW - E6'!F24))</f>
        <v>0</v>
      </c>
      <c r="T35" s="206" t="str">
        <f t="shared" si="9"/>
        <v/>
      </c>
      <c r="U35" s="250">
        <f t="shared" si="10"/>
        <v>0</v>
      </c>
      <c r="V35" s="249">
        <f>IF('NW - E6'!E24=0,0,IF('NW - E6'!E24&gt;=0,'NW - E6'!E24))</f>
        <v>0</v>
      </c>
      <c r="W35" s="206" t="str">
        <f t="shared" si="11"/>
        <v/>
      </c>
      <c r="X35" s="250">
        <f t="shared" si="12"/>
        <v>0</v>
      </c>
      <c r="Y35" s="249">
        <f>IF('NW - E6'!I24=0,0,IF('NW - E6'!I24&gt;=0,'NW - E6'!I24))</f>
        <v>0</v>
      </c>
      <c r="Z35" s="206" t="str">
        <f t="shared" si="13"/>
        <v/>
      </c>
      <c r="AA35" s="250">
        <f t="shared" si="14"/>
        <v>0</v>
      </c>
      <c r="AB35" s="249">
        <f>IF('NW - E6'!H24=0,0,IF('NW - E6'!H24&gt;=0,'NW - E6'!H24))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M6'!C36="","",IF('RIO - M6'!C36&gt;"",'RIO - M6'!C36))</f>
        <v/>
      </c>
      <c r="D36" s="149" t="str">
        <f>IF('NW - E6'!N25="","",IF('NW - E6'!N25="A+","A",IF('NW - E6'!N25="A","A",IF('NW - E6'!N25="B","B",IF('NW - E6'!N25="C","C",IF('NW - E6'!N25="C-","C",IF('NW - E6'!N25="D","D",IF('NW - E6'!N25="E","E"))))))))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E6'!D25=0,0,IF('NW - E6'!D25&gt;=0,'NW - E6'!D25))</f>
        <v>0</v>
      </c>
      <c r="Q36" s="206" t="str">
        <f t="shared" si="7"/>
        <v/>
      </c>
      <c r="R36" s="250">
        <f t="shared" si="8"/>
        <v>0</v>
      </c>
      <c r="S36" s="249">
        <f>IF('NW - E6'!F25=0,0,IF('NW - E6'!F25&gt;=0,'NW - E6'!F25))</f>
        <v>0</v>
      </c>
      <c r="T36" s="206" t="str">
        <f t="shared" si="9"/>
        <v/>
      </c>
      <c r="U36" s="250">
        <f t="shared" si="10"/>
        <v>0</v>
      </c>
      <c r="V36" s="249">
        <f>IF('NW - E6'!E25=0,0,IF('NW - E6'!E25&gt;=0,'NW - E6'!E25))</f>
        <v>0</v>
      </c>
      <c r="W36" s="206" t="str">
        <f t="shared" si="11"/>
        <v/>
      </c>
      <c r="X36" s="250">
        <f t="shared" si="12"/>
        <v>0</v>
      </c>
      <c r="Y36" s="249">
        <f>IF('NW - E6'!I25=0,0,IF('NW - E6'!I25&gt;=0,'NW - E6'!I25))</f>
        <v>0</v>
      </c>
      <c r="Z36" s="206" t="str">
        <f t="shared" si="13"/>
        <v/>
      </c>
      <c r="AA36" s="250">
        <f t="shared" si="14"/>
        <v>0</v>
      </c>
      <c r="AB36" s="249">
        <f>IF('NW - E6'!H25=0,0,IF('NW - E6'!H25&gt;=0,'NW - E6'!H25))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M6'!C37="","",IF('RIO - M6'!C37&gt;"",'RIO - M6'!C37))</f>
        <v/>
      </c>
      <c r="D37" s="149" t="str">
        <f>IF('NW - E6'!N26="","",IF('NW - E6'!N26="A+","A",IF('NW - E6'!N26="A","A",IF('NW - E6'!N26="B","B",IF('NW - E6'!N26="C","C",IF('NW - E6'!N26="C-","C",IF('NW - E6'!N26="D","D",IF('NW - E6'!N26="E","E"))))))))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E6'!D26=0,0,IF('NW - E6'!D26&gt;=0,'NW - E6'!D26))</f>
        <v>0</v>
      </c>
      <c r="Q37" s="206" t="str">
        <f t="shared" si="7"/>
        <v/>
      </c>
      <c r="R37" s="250">
        <f t="shared" si="8"/>
        <v>0</v>
      </c>
      <c r="S37" s="249">
        <f>IF('NW - E6'!F26=0,0,IF('NW - E6'!F26&gt;=0,'NW - E6'!F26))</f>
        <v>0</v>
      </c>
      <c r="T37" s="206" t="str">
        <f t="shared" si="9"/>
        <v/>
      </c>
      <c r="U37" s="250">
        <f t="shared" si="10"/>
        <v>0</v>
      </c>
      <c r="V37" s="249">
        <f>IF('NW - E6'!E26=0,0,IF('NW - E6'!E26&gt;=0,'NW - E6'!E26))</f>
        <v>0</v>
      </c>
      <c r="W37" s="206" t="str">
        <f t="shared" si="11"/>
        <v/>
      </c>
      <c r="X37" s="250">
        <f t="shared" si="12"/>
        <v>0</v>
      </c>
      <c r="Y37" s="249">
        <f>IF('NW - E6'!I26=0,0,IF('NW - E6'!I26&gt;=0,'NW - E6'!I26))</f>
        <v>0</v>
      </c>
      <c r="Z37" s="206" t="str">
        <f t="shared" si="13"/>
        <v/>
      </c>
      <c r="AA37" s="250">
        <f t="shared" si="14"/>
        <v>0</v>
      </c>
      <c r="AB37" s="249">
        <f>IF('NW - E6'!H26=0,0,IF('NW - E6'!H26&gt;=0,'NW - E6'!H26))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M6'!C38="","",IF('RIO - M6'!C38&gt;"",'RIO - M6'!C38))</f>
        <v/>
      </c>
      <c r="D38" s="149" t="str">
        <f>IF('NW - E6'!N27="","",IF('NW - E6'!N27="A+","A",IF('NW - E6'!N27="A","A",IF('NW - E6'!N27="B","B",IF('NW - E6'!N27="C","C",IF('NW - E6'!N27="C-","C",IF('NW - E6'!N27="D","D",IF('NW - E6'!N27="E","E"))))))))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E6'!D27=0,0,IF('NW - E6'!D27&gt;=0,'NW - E6'!D27))</f>
        <v>0</v>
      </c>
      <c r="Q38" s="206" t="str">
        <f t="shared" si="7"/>
        <v/>
      </c>
      <c r="R38" s="250">
        <f t="shared" si="8"/>
        <v>0</v>
      </c>
      <c r="S38" s="249">
        <f>IF('NW - E6'!F27=0,0,IF('NW - E6'!F27&gt;=0,'NW - E6'!F27))</f>
        <v>0</v>
      </c>
      <c r="T38" s="206" t="str">
        <f t="shared" si="9"/>
        <v/>
      </c>
      <c r="U38" s="250">
        <f t="shared" si="10"/>
        <v>0</v>
      </c>
      <c r="V38" s="249">
        <f>IF('NW - E6'!E27=0,0,IF('NW - E6'!E27&gt;=0,'NW - E6'!E27))</f>
        <v>0</v>
      </c>
      <c r="W38" s="206" t="str">
        <f t="shared" si="11"/>
        <v/>
      </c>
      <c r="X38" s="250">
        <f t="shared" si="12"/>
        <v>0</v>
      </c>
      <c r="Y38" s="249">
        <f>IF('NW - E6'!I27=0,0,IF('NW - E6'!I27&gt;=0,'NW - E6'!I27))</f>
        <v>0</v>
      </c>
      <c r="Z38" s="206" t="str">
        <f t="shared" si="13"/>
        <v/>
      </c>
      <c r="AA38" s="250">
        <f t="shared" si="14"/>
        <v>0</v>
      </c>
      <c r="AB38" s="249">
        <f>IF('NW - E6'!H27=0,0,IF('NW - E6'!H27&gt;=0,'NW - E6'!H27))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M6'!C39="","",IF('RIO - M6'!C39&gt;"",'RIO - M6'!C39))</f>
        <v/>
      </c>
      <c r="D39" s="149" t="str">
        <f>IF('NW - E6'!N28="","",IF('NW - E6'!N28="A+","A",IF('NW - E6'!N28="A","A",IF('NW - E6'!N28="B","B",IF('NW - E6'!N28="C","C",IF('NW - E6'!N28="C-","C",IF('NW - E6'!N28="D","D",IF('NW - E6'!N28="E","E"))))))))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E6'!D28=0,0,IF('NW - E6'!D28&gt;=0,'NW - E6'!D28))</f>
        <v>0</v>
      </c>
      <c r="Q39" s="206" t="str">
        <f t="shared" si="7"/>
        <v/>
      </c>
      <c r="R39" s="250">
        <f t="shared" si="8"/>
        <v>0</v>
      </c>
      <c r="S39" s="249">
        <f>IF('NW - E6'!F28=0,0,IF('NW - E6'!F28&gt;=0,'NW - E6'!F28))</f>
        <v>0</v>
      </c>
      <c r="T39" s="206" t="str">
        <f t="shared" si="9"/>
        <v/>
      </c>
      <c r="U39" s="250">
        <f t="shared" si="10"/>
        <v>0</v>
      </c>
      <c r="V39" s="249">
        <f>IF('NW - E6'!E28=0,0,IF('NW - E6'!E28&gt;=0,'NW - E6'!E28))</f>
        <v>0</v>
      </c>
      <c r="W39" s="206" t="str">
        <f t="shared" si="11"/>
        <v/>
      </c>
      <c r="X39" s="250">
        <f t="shared" si="12"/>
        <v>0</v>
      </c>
      <c r="Y39" s="249">
        <f>IF('NW - E6'!I28=0,0,IF('NW - E6'!I28&gt;=0,'NW - E6'!I28))</f>
        <v>0</v>
      </c>
      <c r="Z39" s="206" t="str">
        <f t="shared" si="13"/>
        <v/>
      </c>
      <c r="AA39" s="250">
        <f t="shared" si="14"/>
        <v>0</v>
      </c>
      <c r="AB39" s="249">
        <f>IF('NW - E6'!H28=0,0,IF('NW - E6'!H28&gt;=0,'NW - E6'!H28))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M6'!C40="","",IF('RIO - M6'!C40&gt;"",'RIO - M6'!C40))</f>
        <v/>
      </c>
      <c r="D40" s="149" t="str">
        <f>IF('NW - E6'!N29="","",IF('NW - E6'!N29="A+","A",IF('NW - E6'!N29="A","A",IF('NW - E6'!N29="B","B",IF('NW - E6'!N29="C","C",IF('NW - E6'!N29="C-","C",IF('NW - E6'!N29="D","D",IF('NW - E6'!N29="E","E"))))))))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E6'!D29=0,0,IF('NW - E6'!D29&gt;=0,'NW - E6'!D29))</f>
        <v>0</v>
      </c>
      <c r="Q40" s="206" t="str">
        <f t="shared" si="7"/>
        <v/>
      </c>
      <c r="R40" s="250">
        <f t="shared" si="8"/>
        <v>0</v>
      </c>
      <c r="S40" s="249">
        <f>IF('NW - E6'!F29=0,0,IF('NW - E6'!F29&gt;=0,'NW - E6'!F29))</f>
        <v>0</v>
      </c>
      <c r="T40" s="206" t="str">
        <f t="shared" si="9"/>
        <v/>
      </c>
      <c r="U40" s="250">
        <f t="shared" si="10"/>
        <v>0</v>
      </c>
      <c r="V40" s="249">
        <f>IF('NW - E6'!E29=0,0,IF('NW - E6'!E29&gt;=0,'NW - E6'!E29))</f>
        <v>0</v>
      </c>
      <c r="W40" s="206" t="str">
        <f t="shared" si="11"/>
        <v/>
      </c>
      <c r="X40" s="250">
        <f t="shared" si="12"/>
        <v>0</v>
      </c>
      <c r="Y40" s="249">
        <f>IF('NW - E6'!I29=0,0,IF('NW - E6'!I29&gt;=0,'NW - E6'!I29))</f>
        <v>0</v>
      </c>
      <c r="Z40" s="206" t="str">
        <f t="shared" si="13"/>
        <v/>
      </c>
      <c r="AA40" s="250">
        <f t="shared" si="14"/>
        <v>0</v>
      </c>
      <c r="AB40" s="249">
        <f>IF('NW - E6'!H29=0,0,IF('NW - E6'!H29&gt;=0,'NW - E6'!H29))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M6'!C41="","",IF('RIO - M6'!C41&gt;"",'RIO - M6'!C41))</f>
        <v/>
      </c>
      <c r="D41" s="149" t="str">
        <f>IF('NW - E6'!N30="","",IF('NW - E6'!N30="A+","A",IF('NW - E6'!N30="A","A",IF('NW - E6'!N30="B","B",IF('NW - E6'!N30="C","C",IF('NW - E6'!N30="C-","C",IF('NW - E6'!N30="D","D",IF('NW - E6'!N30="E","E"))))))))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E6'!D30=0,0,IF('NW - E6'!D30&gt;=0,'NW - E6'!D30))</f>
        <v>0</v>
      </c>
      <c r="Q41" s="206" t="str">
        <f t="shared" si="7"/>
        <v/>
      </c>
      <c r="R41" s="250">
        <f t="shared" si="8"/>
        <v>0</v>
      </c>
      <c r="S41" s="249">
        <f>IF('NW - E6'!F30=0,0,IF('NW - E6'!F30&gt;=0,'NW - E6'!F30))</f>
        <v>0</v>
      </c>
      <c r="T41" s="206" t="str">
        <f t="shared" si="9"/>
        <v/>
      </c>
      <c r="U41" s="250">
        <f t="shared" si="10"/>
        <v>0</v>
      </c>
      <c r="V41" s="249">
        <f>IF('NW - E6'!E30=0,0,IF('NW - E6'!E30&gt;=0,'NW - E6'!E30))</f>
        <v>0</v>
      </c>
      <c r="W41" s="206" t="str">
        <f t="shared" si="11"/>
        <v/>
      </c>
      <c r="X41" s="250">
        <f t="shared" si="12"/>
        <v>0</v>
      </c>
      <c r="Y41" s="249">
        <f>IF('NW - E6'!I30=0,0,IF('NW - E6'!I30&gt;=0,'NW - E6'!I30))</f>
        <v>0</v>
      </c>
      <c r="Z41" s="206" t="str">
        <f t="shared" si="13"/>
        <v/>
      </c>
      <c r="AA41" s="250">
        <f t="shared" si="14"/>
        <v>0</v>
      </c>
      <c r="AB41" s="249">
        <f>IF('NW - E6'!H30=0,0,IF('NW - E6'!H30&gt;=0,'NW - E6'!H30))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M6'!C42="","",IF('RIO - M6'!C42&gt;"",'RIO - M6'!C42))</f>
        <v/>
      </c>
      <c r="D42" s="149" t="str">
        <f>IF('NW - E6'!N31="","",IF('NW - E6'!N31="A+","A",IF('NW - E6'!N31="A","A",IF('NW - E6'!N31="B","B",IF('NW - E6'!N31="C","C",IF('NW - E6'!N31="C-","C",IF('NW - E6'!N31="D","D",IF('NW - E6'!N31="E","E"))))))))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E6'!D31=0,0,IF('NW - E6'!D31&gt;=0,'NW - E6'!D31))</f>
        <v>0</v>
      </c>
      <c r="Q42" s="206" t="str">
        <f t="shared" si="7"/>
        <v/>
      </c>
      <c r="R42" s="250">
        <f t="shared" si="8"/>
        <v>0</v>
      </c>
      <c r="S42" s="249">
        <f>IF('NW - E6'!F31=0,0,IF('NW - E6'!F31&gt;=0,'NW - E6'!F31))</f>
        <v>0</v>
      </c>
      <c r="T42" s="206" t="str">
        <f t="shared" si="9"/>
        <v/>
      </c>
      <c r="U42" s="250">
        <f t="shared" si="10"/>
        <v>0</v>
      </c>
      <c r="V42" s="249">
        <f>IF('NW - E6'!E31=0,0,IF('NW - E6'!E31&gt;=0,'NW - E6'!E31))</f>
        <v>0</v>
      </c>
      <c r="W42" s="206" t="str">
        <f t="shared" si="11"/>
        <v/>
      </c>
      <c r="X42" s="250">
        <f t="shared" si="12"/>
        <v>0</v>
      </c>
      <c r="Y42" s="249">
        <f>IF('NW - E6'!I31=0,0,IF('NW - E6'!I31&gt;=0,'NW - E6'!I31))</f>
        <v>0</v>
      </c>
      <c r="Z42" s="206" t="str">
        <f t="shared" si="13"/>
        <v/>
      </c>
      <c r="AA42" s="250">
        <f t="shared" si="14"/>
        <v>0</v>
      </c>
      <c r="AB42" s="249">
        <f>IF('NW - E6'!H31=0,0,IF('NW - E6'!H31&gt;=0,'NW - E6'!H31))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M6'!C43="","",IF('RIO - M6'!C43&gt;"",'RIO - M6'!C43))</f>
        <v/>
      </c>
      <c r="D43" s="149" t="str">
        <f>IF('NW - E6'!N32="","",IF('NW - E6'!N32="A+","A",IF('NW - E6'!N32="A","A",IF('NW - E6'!N32="B","B",IF('NW - E6'!N32="C","C",IF('NW - E6'!N32="C-","C",IF('NW - E6'!N32="D","D",IF('NW - E6'!N32="E","E"))))))))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E6'!D32=0,0,IF('NW - E6'!D32&gt;=0,'NW - E6'!D32))</f>
        <v>0</v>
      </c>
      <c r="Q43" s="206" t="str">
        <f t="shared" si="7"/>
        <v/>
      </c>
      <c r="R43" s="250">
        <f t="shared" si="8"/>
        <v>0</v>
      </c>
      <c r="S43" s="249">
        <f>IF('NW - E6'!F32=0,0,IF('NW - E6'!F32&gt;=0,'NW - E6'!F32))</f>
        <v>0</v>
      </c>
      <c r="T43" s="206" t="str">
        <f t="shared" si="9"/>
        <v/>
      </c>
      <c r="U43" s="250">
        <f t="shared" si="10"/>
        <v>0</v>
      </c>
      <c r="V43" s="249">
        <f>IF('NW - E6'!E32=0,0,IF('NW - E6'!E32&gt;=0,'NW - E6'!E32))</f>
        <v>0</v>
      </c>
      <c r="W43" s="206" t="str">
        <f t="shared" si="11"/>
        <v/>
      </c>
      <c r="X43" s="250">
        <f t="shared" si="12"/>
        <v>0</v>
      </c>
      <c r="Y43" s="249">
        <f>IF('NW - E6'!I32=0,0,IF('NW - E6'!I32&gt;=0,'NW - E6'!I32))</f>
        <v>0</v>
      </c>
      <c r="Z43" s="206" t="str">
        <f t="shared" si="13"/>
        <v/>
      </c>
      <c r="AA43" s="250">
        <f t="shared" si="14"/>
        <v>0</v>
      </c>
      <c r="AB43" s="249">
        <f>IF('NW - E6'!H32=0,0,IF('NW - E6'!H32&gt;=0,'NW - E6'!H32))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M6'!C44="","",IF('RIO - M6'!C44&gt;"",'RIO - M6'!C44))</f>
        <v/>
      </c>
      <c r="D44" s="149" t="str">
        <f>IF('NW - E6'!N33="","",IF('NW - E6'!N33="A+","A",IF('NW - E6'!N33="A","A",IF('NW - E6'!N33="B","B",IF('NW - E6'!N33="C","C",IF('NW - E6'!N33="C-","C",IF('NW - E6'!N33="D","D",IF('NW - E6'!N33="E","E"))))))))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E6'!D33=0,0,IF('NW - E6'!D33&gt;=0,'NW - E6'!D33))</f>
        <v>0</v>
      </c>
      <c r="Q44" s="206" t="str">
        <f t="shared" si="7"/>
        <v/>
      </c>
      <c r="R44" s="250">
        <f t="shared" si="8"/>
        <v>0</v>
      </c>
      <c r="S44" s="249">
        <f>IF('NW - E6'!F33=0,0,IF('NW - E6'!F33&gt;=0,'NW - E6'!F33))</f>
        <v>0</v>
      </c>
      <c r="T44" s="206" t="str">
        <f t="shared" si="9"/>
        <v/>
      </c>
      <c r="U44" s="250">
        <f t="shared" si="10"/>
        <v>0</v>
      </c>
      <c r="V44" s="249">
        <f>IF('NW - E6'!E33=0,0,IF('NW - E6'!E33&gt;=0,'NW - E6'!E33))</f>
        <v>0</v>
      </c>
      <c r="W44" s="206" t="str">
        <f t="shared" si="11"/>
        <v/>
      </c>
      <c r="X44" s="250">
        <f t="shared" si="12"/>
        <v>0</v>
      </c>
      <c r="Y44" s="249">
        <f>IF('NW - E6'!I33=0,0,IF('NW - E6'!I33&gt;=0,'NW - E6'!I33))</f>
        <v>0</v>
      </c>
      <c r="Z44" s="206" t="str">
        <f t="shared" si="13"/>
        <v/>
      </c>
      <c r="AA44" s="250">
        <f t="shared" si="14"/>
        <v>0</v>
      </c>
      <c r="AB44" s="249">
        <f>IF('NW - E6'!H33=0,0,IF('NW - E6'!H33&gt;=0,'NW - E6'!H33))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t="b">
        <f>IF($J$1=5,3,IF($J$1="5A",3,IF($J$1="5B",3,IF($J$1="5C",3))))</f>
        <v>0</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M6'!C45="","",IF('RIO - M6'!C45&gt;"",'RIO - M6'!C45))</f>
        <v/>
      </c>
      <c r="D45" s="149" t="str">
        <f>IF('NW - E6'!N34="","",IF('NW - E6'!N34="A+","A",IF('NW - E6'!N34="A","A",IF('NW - E6'!N34="B","B",IF('NW - E6'!N34="C","C",IF('NW - E6'!N34="C-","C",IF('NW - E6'!N34="D","D",IF('NW - E6'!N34="E","E"))))))))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E6'!D34=0,0,IF('NW - E6'!D34&gt;=0,'NW - E6'!D34))</f>
        <v>0</v>
      </c>
      <c r="Q45" s="206" t="str">
        <f t="shared" si="7"/>
        <v/>
      </c>
      <c r="R45" s="250">
        <f t="shared" si="8"/>
        <v>0</v>
      </c>
      <c r="S45" s="249">
        <f>IF('NW - E6'!F34=0,0,IF('NW - E6'!F34&gt;=0,'NW - E6'!F34))</f>
        <v>0</v>
      </c>
      <c r="T45" s="206" t="str">
        <f t="shared" si="9"/>
        <v/>
      </c>
      <c r="U45" s="250">
        <f t="shared" si="10"/>
        <v>0</v>
      </c>
      <c r="V45" s="249">
        <f>IF('NW - E6'!E34=0,0,IF('NW - E6'!E34&gt;=0,'NW - E6'!E34))</f>
        <v>0</v>
      </c>
      <c r="W45" s="206" t="str">
        <f t="shared" si="11"/>
        <v/>
      </c>
      <c r="X45" s="250">
        <f t="shared" si="12"/>
        <v>0</v>
      </c>
      <c r="Y45" s="249">
        <f>IF('NW - E6'!I34=0,0,IF('NW - E6'!I34&gt;=0,'NW - E6'!I34))</f>
        <v>0</v>
      </c>
      <c r="Z45" s="206" t="str">
        <f t="shared" si="13"/>
        <v/>
      </c>
      <c r="AA45" s="250">
        <f t="shared" si="14"/>
        <v>0</v>
      </c>
      <c r="AB45" s="249">
        <f>IF('NW - E6'!H34=0,0,IF('NW - E6'!H34&gt;=0,'NW - E6'!H34))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f>IF($J$1=6,4,IF($J$1="6A",4,IF($J$1="6B",4,IF($J$1="6C",4))))</f>
        <v>4</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M6'!C46="","",IF('RIO - M6'!C46&gt;"",'RIO - M6'!C46))</f>
        <v/>
      </c>
      <c r="D46" s="149" t="str">
        <f>IF('NW - E6'!N35="","",IF('NW - E6'!N35="A+","A",IF('NW - E6'!N35="A","A",IF('NW - E6'!N35="B","B",IF('NW - E6'!N35="C","C",IF('NW - E6'!N35="C-","C",IF('NW - E6'!N35="D","D",IF('NW - E6'!N35="E","E"))))))))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E6'!D35=0,0,IF('NW - E6'!D35&gt;=0,'NW - E6'!D35))</f>
        <v>0</v>
      </c>
      <c r="Q46" s="206" t="str">
        <f t="shared" si="7"/>
        <v/>
      </c>
      <c r="R46" s="250">
        <f t="shared" si="8"/>
        <v>0</v>
      </c>
      <c r="S46" s="249">
        <f>IF('NW - E6'!F35=0,0,IF('NW - E6'!F35&gt;=0,'NW - E6'!F35))</f>
        <v>0</v>
      </c>
      <c r="T46" s="206" t="str">
        <f t="shared" si="9"/>
        <v/>
      </c>
      <c r="U46" s="250">
        <f t="shared" si="10"/>
        <v>0</v>
      </c>
      <c r="V46" s="249">
        <f>IF('NW - E6'!E35=0,0,IF('NW - E6'!E35&gt;=0,'NW - E6'!E35))</f>
        <v>0</v>
      </c>
      <c r="W46" s="206" t="str">
        <f t="shared" si="11"/>
        <v/>
      </c>
      <c r="X46" s="250">
        <f t="shared" si="12"/>
        <v>0</v>
      </c>
      <c r="Y46" s="249">
        <f>IF('NW - E6'!I35=0,0,IF('NW - E6'!I35&gt;=0,'NW - E6'!I35))</f>
        <v>0</v>
      </c>
      <c r="Z46" s="206" t="str">
        <f t="shared" si="13"/>
        <v/>
      </c>
      <c r="AA46" s="250">
        <f t="shared" si="14"/>
        <v>0</v>
      </c>
      <c r="AB46" s="249">
        <f>IF('NW - E6'!H35=0,0,IF('NW - E6'!H35&gt;=0,'NW - E6'!H35))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t="b">
        <f>IF($J$1=7,5,IF($J$1="7A",5,IF($J$1="7B",5,IF($J$1="7C",5))))</f>
        <v>0</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M6'!C47="","",IF('RIO - M6'!C47&gt;"",'RIO - M6'!C47))</f>
        <v/>
      </c>
      <c r="D47" s="149" t="str">
        <f>IF('NW - E6'!N36="","",IF('NW - E6'!N36="A+","A",IF('NW - E6'!N36="A","A",IF('NW - E6'!N36="B","B",IF('NW - E6'!N36="C","C",IF('NW - E6'!N36="C-","C",IF('NW - E6'!N36="D","D",IF('NW - E6'!N36="E","E"))))))))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E6'!D36=0,0,IF('NW - E6'!D36&gt;=0,'NW - E6'!D36))</f>
        <v>0</v>
      </c>
      <c r="Q47" s="206" t="str">
        <f t="shared" si="7"/>
        <v/>
      </c>
      <c r="R47" s="250">
        <f t="shared" si="8"/>
        <v>0</v>
      </c>
      <c r="S47" s="249">
        <f>IF('NW - E6'!F36=0,0,IF('NW - E6'!F36&gt;=0,'NW - E6'!F36))</f>
        <v>0</v>
      </c>
      <c r="T47" s="206" t="str">
        <f t="shared" si="9"/>
        <v/>
      </c>
      <c r="U47" s="250">
        <f t="shared" si="10"/>
        <v>0</v>
      </c>
      <c r="V47" s="249">
        <f>IF('NW - E6'!E36=0,0,IF('NW - E6'!E36&gt;=0,'NW - E6'!E36))</f>
        <v>0</v>
      </c>
      <c r="W47" s="206" t="str">
        <f t="shared" si="11"/>
        <v/>
      </c>
      <c r="X47" s="250">
        <f t="shared" si="12"/>
        <v>0</v>
      </c>
      <c r="Y47" s="249">
        <f>IF('NW - E6'!I36=0,0,IF('NW - E6'!I36&gt;=0,'NW - E6'!I36))</f>
        <v>0</v>
      </c>
      <c r="Z47" s="206" t="str">
        <f t="shared" si="13"/>
        <v/>
      </c>
      <c r="AA47" s="250">
        <f t="shared" si="14"/>
        <v>0</v>
      </c>
      <c r="AB47" s="249">
        <f>IF('NW - E6'!H36=0,0,IF('NW - E6'!H36&gt;=0,'NW - E6'!H36))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M6'!C48="","",IF('RIO - M6'!C48&gt;"",'RIO - M6'!C48))</f>
        <v/>
      </c>
      <c r="D48" s="149" t="str">
        <f>IF('NW - E6'!N37="","",IF('NW - E6'!N37="A+","A",IF('NW - E6'!N37="A","A",IF('NW - E6'!N37="B","B",IF('NW - E6'!N37="C","C",IF('NW - E6'!N37="C-","C",IF('NW - E6'!N37="D","D",IF('NW - E6'!N37="E","E"))))))))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E6'!D37=0,0,IF('NW - E6'!D37&gt;=0,'NW - E6'!D37))</f>
        <v>0</v>
      </c>
      <c r="Q48" s="206" t="str">
        <f t="shared" si="7"/>
        <v/>
      </c>
      <c r="R48" s="250">
        <f t="shared" si="8"/>
        <v>0</v>
      </c>
      <c r="S48" s="249">
        <f>IF('NW - E6'!F37=0,0,IF('NW - E6'!F37&gt;=0,'NW - E6'!F37))</f>
        <v>0</v>
      </c>
      <c r="T48" s="206" t="str">
        <f t="shared" si="9"/>
        <v/>
      </c>
      <c r="U48" s="250">
        <f t="shared" si="10"/>
        <v>0</v>
      </c>
      <c r="V48" s="249">
        <f>IF('NW - E6'!E37=0,0,IF('NW - E6'!E37&gt;=0,'NW - E6'!E37))</f>
        <v>0</v>
      </c>
      <c r="W48" s="206" t="str">
        <f t="shared" si="11"/>
        <v/>
      </c>
      <c r="X48" s="250">
        <f t="shared" si="12"/>
        <v>0</v>
      </c>
      <c r="Y48" s="249">
        <f>IF('NW - E6'!I37=0,0,IF('NW - E6'!I37&gt;=0,'NW - E6'!I37))</f>
        <v>0</v>
      </c>
      <c r="Z48" s="206" t="str">
        <f t="shared" si="13"/>
        <v/>
      </c>
      <c r="AA48" s="250">
        <f t="shared" si="14"/>
        <v>0</v>
      </c>
      <c r="AB48" s="249">
        <f>IF('NW - E6'!H37=0,0,IF('NW - E6'!H37&gt;=0,'NW - E6'!H37))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M6'!C49="","",IF('RIO - M6'!C49&gt;"",'RIO - M6'!C49))</f>
        <v/>
      </c>
      <c r="D49" s="149" t="str">
        <f>IF('NW - E6'!N38="","",IF('NW - E6'!N38="A+","A",IF('NW - E6'!N38="A","A",IF('NW - E6'!N38="B","B",IF('NW - E6'!N38="C","C",IF('NW - E6'!N38="C-","C",IF('NW - E6'!N38="D","D",IF('NW - E6'!N38="E","E"))))))))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E6'!D38=0,0,IF('NW - E6'!D38&gt;=0,'NW - E6'!D38))</f>
        <v>0</v>
      </c>
      <c r="Q49" s="206" t="str">
        <f t="shared" si="7"/>
        <v/>
      </c>
      <c r="R49" s="250">
        <f t="shared" si="8"/>
        <v>0</v>
      </c>
      <c r="S49" s="249">
        <f>IF('NW - E6'!F38=0,0,IF('NW - E6'!F38&gt;=0,'NW - E6'!F38))</f>
        <v>0</v>
      </c>
      <c r="T49" s="206" t="str">
        <f t="shared" si="9"/>
        <v/>
      </c>
      <c r="U49" s="250">
        <f t="shared" si="10"/>
        <v>0</v>
      </c>
      <c r="V49" s="249">
        <f>IF('NW - E6'!E38=0,0,IF('NW - E6'!E38&gt;=0,'NW - E6'!E38))</f>
        <v>0</v>
      </c>
      <c r="W49" s="206" t="str">
        <f t="shared" si="11"/>
        <v/>
      </c>
      <c r="X49" s="250">
        <f t="shared" si="12"/>
        <v>0</v>
      </c>
      <c r="Y49" s="249">
        <f>IF('NW - E6'!I38=0,0,IF('NW - E6'!I38&gt;=0,'NW - E6'!I38))</f>
        <v>0</v>
      </c>
      <c r="Z49" s="206" t="str">
        <f t="shared" si="13"/>
        <v/>
      </c>
      <c r="AA49" s="250">
        <f t="shared" si="14"/>
        <v>0</v>
      </c>
      <c r="AB49" s="249">
        <f>IF('NW - E6'!H38=0,0,IF('NW - E6'!H38&gt;=0,'NW - E6'!H38))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M6'!C50="","",IF('RIO - M6'!C50&gt;"",'RIO - M6'!C50))</f>
        <v/>
      </c>
      <c r="D50" s="149" t="str">
        <f>IF('NW - E6'!N39="","",IF('NW - E6'!N39="A+","A",IF('NW - E6'!N39="A","A",IF('NW - E6'!N39="B","B",IF('NW - E6'!N39="C","C",IF('NW - E6'!N39="C-","C",IF('NW - E6'!N39="D","D",IF('NW - E6'!N39="E","E"))))))))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E6'!D39=0,0,IF('NW - E6'!D39&gt;=0,'NW - E6'!D39))</f>
        <v>0</v>
      </c>
      <c r="Q50" s="206" t="str">
        <f t="shared" si="7"/>
        <v/>
      </c>
      <c r="R50" s="250">
        <f t="shared" si="8"/>
        <v>0</v>
      </c>
      <c r="S50" s="249">
        <f>IF('NW - E6'!F39=0,0,IF('NW - E6'!F39&gt;=0,'NW - E6'!F39))</f>
        <v>0</v>
      </c>
      <c r="T50" s="206" t="str">
        <f t="shared" si="9"/>
        <v/>
      </c>
      <c r="U50" s="250">
        <f t="shared" si="10"/>
        <v>0</v>
      </c>
      <c r="V50" s="249">
        <f>IF('NW - E6'!E39=0,0,IF('NW - E6'!E39&gt;=0,'NW - E6'!E39))</f>
        <v>0</v>
      </c>
      <c r="W50" s="206" t="str">
        <f t="shared" si="11"/>
        <v/>
      </c>
      <c r="X50" s="250">
        <f t="shared" si="12"/>
        <v>0</v>
      </c>
      <c r="Y50" s="249">
        <f>IF('NW - E6'!I39=0,0,IF('NW - E6'!I39&gt;=0,'NW - E6'!I39))</f>
        <v>0</v>
      </c>
      <c r="Z50" s="206" t="str">
        <f t="shared" si="13"/>
        <v/>
      </c>
      <c r="AA50" s="250">
        <f t="shared" si="14"/>
        <v>0</v>
      </c>
      <c r="AB50" s="249">
        <f>IF('NW - E6'!H39=0,0,IF('NW - E6'!H39&gt;=0,'NW - E6'!H39))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M6'!C51="","",IF('RIO - M6'!C51&gt;"",'RIO - M6'!C51))</f>
        <v/>
      </c>
      <c r="D51" s="149" t="str">
        <f>IF('NW - E6'!N40="","",IF('NW - E6'!N40="A+","A",IF('NW - E6'!N40="A","A",IF('NW - E6'!N40="B","B",IF('NW - E6'!N40="C","C",IF('NW - E6'!N40="C-","C",IF('NW - E6'!N40="D","D",IF('NW - E6'!N40="E","E"))))))))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E6'!D40=0,0,IF('NW - E6'!D40&gt;=0,'NW - E6'!D40))</f>
        <v>0</v>
      </c>
      <c r="Q51" s="206" t="str">
        <f t="shared" si="7"/>
        <v/>
      </c>
      <c r="R51" s="250">
        <f t="shared" si="8"/>
        <v>0</v>
      </c>
      <c r="S51" s="249">
        <f>IF('NW - E6'!F40=0,0,IF('NW - E6'!F40&gt;=0,'NW - E6'!F40))</f>
        <v>0</v>
      </c>
      <c r="T51" s="206" t="str">
        <f t="shared" si="9"/>
        <v/>
      </c>
      <c r="U51" s="250">
        <f t="shared" si="10"/>
        <v>0</v>
      </c>
      <c r="V51" s="249">
        <f>IF('NW - E6'!E40=0,0,IF('NW - E6'!E40&gt;=0,'NW - E6'!E40))</f>
        <v>0</v>
      </c>
      <c r="W51" s="206" t="str">
        <f t="shared" si="11"/>
        <v/>
      </c>
      <c r="X51" s="250">
        <f t="shared" si="12"/>
        <v>0</v>
      </c>
      <c r="Y51" s="249">
        <f>IF('NW - E6'!I40=0,0,IF('NW - E6'!I40&gt;=0,'NW - E6'!I40))</f>
        <v>0</v>
      </c>
      <c r="Z51" s="206" t="str">
        <f t="shared" si="13"/>
        <v/>
      </c>
      <c r="AA51" s="250">
        <f t="shared" si="14"/>
        <v>0</v>
      </c>
      <c r="AB51" s="249">
        <f>IF('NW - E6'!H40=0,0,IF('NW - E6'!H40&gt;=0,'NW - E6'!H40))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M6'!C52="","",IF('RIO - M6'!C52&gt;"",'RIO - M6'!C52))</f>
        <v/>
      </c>
      <c r="D52" s="149" t="str">
        <f>IF('NW - E6'!N41="","",IF('NW - E6'!N41="A+","A",IF('NW - E6'!N41="A","A",IF('NW - E6'!N41="B","B",IF('NW - E6'!N41="C","C",IF('NW - E6'!N41="C-","C",IF('NW - E6'!N41="D","D",IF('NW - E6'!N41="E","E"))))))))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E6'!D41=0,0,IF('NW - E6'!D41&gt;=0,'NW - E6'!D41))</f>
        <v>0</v>
      </c>
      <c r="Q52" s="207" t="str">
        <f t="shared" si="7"/>
        <v/>
      </c>
      <c r="R52" s="250">
        <f t="shared" si="8"/>
        <v>0</v>
      </c>
      <c r="S52" s="249">
        <f>IF('NW - E6'!F41=0,0,IF('NW - E6'!F41&gt;=0,'NW - E6'!F41))</f>
        <v>0</v>
      </c>
      <c r="T52" s="207" t="str">
        <f t="shared" si="9"/>
        <v/>
      </c>
      <c r="U52" s="250">
        <f t="shared" si="10"/>
        <v>0</v>
      </c>
      <c r="V52" s="249">
        <f>IF('NW - E6'!E41=0,0,IF('NW - E6'!E41&gt;=0,'NW - E6'!E41))</f>
        <v>0</v>
      </c>
      <c r="W52" s="207" t="str">
        <f t="shared" si="11"/>
        <v/>
      </c>
      <c r="X52" s="250">
        <f t="shared" si="12"/>
        <v>0</v>
      </c>
      <c r="Y52" s="249">
        <f>IF('NW - E6'!I41=0,0,IF('NW - E6'!I41&gt;=0,'NW - E6'!I41))</f>
        <v>0</v>
      </c>
      <c r="Z52" s="207" t="str">
        <f t="shared" si="13"/>
        <v/>
      </c>
      <c r="AA52" s="250">
        <f t="shared" si="14"/>
        <v>0</v>
      </c>
      <c r="AB52" s="249">
        <f>IF('NW - E6'!H41=0,0,IF('NW - E6'!H41&gt;=0,'NW - E6'!H41))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3</v>
      </c>
      <c r="C53" s="341" t="s">
        <v>76</v>
      </c>
      <c r="D53" s="342"/>
      <c r="E53" s="342"/>
      <c r="F53" s="342"/>
      <c r="G53" s="342"/>
      <c r="H53" s="342"/>
      <c r="I53" s="342"/>
      <c r="J53" s="342"/>
      <c r="K53" s="342"/>
      <c r="L53" s="342"/>
      <c r="M53" s="342"/>
      <c r="N53" s="343"/>
      <c r="O53" s="347">
        <f>IF(AD53=0,0,IF(AD53&gt;0,AD54))</f>
        <v>1</v>
      </c>
      <c r="P53" s="348"/>
      <c r="Q53" s="349"/>
      <c r="R53" s="350">
        <f>IF(AE53=0,0,IF(AE53&gt;0,AE54))</f>
        <v>1</v>
      </c>
      <c r="S53" s="348"/>
      <c r="T53" s="349"/>
      <c r="U53" s="350">
        <f>IF(AF53=0,0,IF(AF53&gt;0,AF54))</f>
        <v>0.5</v>
      </c>
      <c r="V53" s="348"/>
      <c r="W53" s="351"/>
      <c r="X53" s="347">
        <f>IF(AG53=0,0,IF(AG53&gt;0,AG54))</f>
        <v>0.5</v>
      </c>
      <c r="Y53" s="348"/>
      <c r="Z53" s="349"/>
      <c r="AA53" s="350">
        <f>IF(AH53=0,0,IF(AH53&gt;0,AH54))</f>
        <v>1</v>
      </c>
      <c r="AB53" s="348"/>
      <c r="AC53" s="351"/>
      <c r="AD53" s="173">
        <f>SUM(AD17:AD52)</f>
        <v>2</v>
      </c>
      <c r="AE53" s="126">
        <f>SUM(AE17:AE52)</f>
        <v>2</v>
      </c>
      <c r="AF53" s="126">
        <f>SUM(AF17:AF52)</f>
        <v>1</v>
      </c>
      <c r="AG53" s="126">
        <f>SUM(AG17:AG52)</f>
        <v>1</v>
      </c>
      <c r="AH53" s="126">
        <f>SUM(AH17:AH52)</f>
        <v>2</v>
      </c>
      <c r="AI53" s="127">
        <f>SUM(AV17:AV52)</f>
        <v>1.6</v>
      </c>
      <c r="AJ53" s="127">
        <f t="shared" ref="AJ53:AS53" si="42">SUM(AJ17:AJ52)</f>
        <v>0</v>
      </c>
      <c r="AK53" s="127">
        <f t="shared" si="42"/>
        <v>0</v>
      </c>
      <c r="AL53" s="127">
        <f t="shared" si="42"/>
        <v>0.8</v>
      </c>
      <c r="AM53" s="127">
        <f t="shared" si="42"/>
        <v>0.8</v>
      </c>
      <c r="AN53" s="127">
        <f t="shared" si="42"/>
        <v>0</v>
      </c>
      <c r="AO53" s="127">
        <f t="shared" si="42"/>
        <v>0</v>
      </c>
      <c r="AP53" s="127">
        <f t="shared" si="42"/>
        <v>0</v>
      </c>
      <c r="AQ53" s="127">
        <f t="shared" si="42"/>
        <v>0</v>
      </c>
      <c r="AR53" s="127">
        <f t="shared" si="42"/>
        <v>0</v>
      </c>
      <c r="AS53" s="127">
        <f t="shared" si="42"/>
        <v>0</v>
      </c>
      <c r="AT53" s="146"/>
      <c r="AU53" s="147"/>
      <c r="AV53" s="128">
        <f>IF(AI53=0,"",IF(AI53&gt;0,$AI$54))</f>
        <v>0.53333333333333333</v>
      </c>
      <c r="AW53" s="129" t="str">
        <f>IF(AW54=0,"",IF(AW54&gt;0,AW54/AX54))</f>
        <v/>
      </c>
      <c r="AX53" s="1">
        <f>SUM(AX42:AX52)</f>
        <v>4</v>
      </c>
      <c r="AY53" s="130" t="str">
        <f>IF(L54=0,"",IF(L54&gt;0,AY54/L54))</f>
        <v/>
      </c>
      <c r="AZ53" s="131">
        <f>IF(B53=0,"",IF(B53&gt;0,AZ55/B53))</f>
        <v>1</v>
      </c>
      <c r="BA53" s="132"/>
      <c r="BB53" s="133" t="str">
        <f>IF(BD53=0,"",IF(BD53&gt;0,BD53/BB54))</f>
        <v/>
      </c>
      <c r="BC53" s="132"/>
      <c r="BD53" s="132">
        <f>SUM(BD17:BD52)</f>
        <v>0</v>
      </c>
      <c r="BE53" s="133" t="str">
        <f>IF(BG53=0,"",IF(BG53&gt;0,BG53/BE54))</f>
        <v/>
      </c>
      <c r="BF53" s="31"/>
      <c r="BG53" s="134">
        <f>SUM(BG17:BG52)</f>
        <v>0</v>
      </c>
    </row>
    <row r="54" spans="1:59" x14ac:dyDescent="0.2">
      <c r="B54" s="143">
        <f>COUNTIF(B17:B52,0)</f>
        <v>33</v>
      </c>
      <c r="C54" s="5"/>
      <c r="D54" s="5"/>
      <c r="E54" s="5"/>
      <c r="F54" s="5"/>
      <c r="G54" s="5"/>
      <c r="H54" s="5"/>
      <c r="I54" s="5"/>
      <c r="L54" s="5">
        <f>COUNTA(L17:L52)</f>
        <v>0</v>
      </c>
      <c r="M54" s="5">
        <f>COUNTA(M17:M52)</f>
        <v>0</v>
      </c>
      <c r="O54" s="332" t="s">
        <v>35</v>
      </c>
      <c r="P54" s="333"/>
      <c r="Q54" s="333"/>
      <c r="R54" s="333"/>
      <c r="S54" s="333"/>
      <c r="T54" s="333"/>
      <c r="U54" s="333"/>
      <c r="V54" s="333"/>
      <c r="W54" s="334"/>
      <c r="X54" s="338" t="s">
        <v>36</v>
      </c>
      <c r="Y54" s="339"/>
      <c r="Z54" s="339"/>
      <c r="AA54" s="339"/>
      <c r="AB54" s="339"/>
      <c r="AC54" s="340"/>
      <c r="AD54" s="135">
        <f t="shared" ref="AD54:AI54" si="43">AD53/AD56</f>
        <v>1</v>
      </c>
      <c r="AE54" s="135">
        <f t="shared" si="43"/>
        <v>1</v>
      </c>
      <c r="AF54" s="135">
        <f t="shared" si="43"/>
        <v>0.5</v>
      </c>
      <c r="AG54" s="135">
        <f t="shared" si="43"/>
        <v>0.5</v>
      </c>
      <c r="AH54" s="135">
        <f t="shared" si="43"/>
        <v>1</v>
      </c>
      <c r="AI54" s="135">
        <f t="shared" si="43"/>
        <v>0.53333333333333333</v>
      </c>
      <c r="AJ54" s="106">
        <f t="shared" ref="AJ54:AS54" si="44">AJ53/10</f>
        <v>0</v>
      </c>
      <c r="AK54" s="106">
        <f t="shared" si="44"/>
        <v>0</v>
      </c>
      <c r="AL54" s="106">
        <f t="shared" si="44"/>
        <v>0.08</v>
      </c>
      <c r="AM54" s="106">
        <f t="shared" si="44"/>
        <v>0.08</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132</v>
      </c>
      <c r="AY54" s="136">
        <f>SUM(AY17:AY51)</f>
        <v>0</v>
      </c>
      <c r="AZ54" s="5">
        <f>COUNTA(AZ17:AZ52)</f>
        <v>0</v>
      </c>
      <c r="BA54" s="3"/>
      <c r="BB54" s="5">
        <f>COUNTA(BB17:BB52)</f>
        <v>0</v>
      </c>
      <c r="BC54" s="5"/>
      <c r="BD54" s="5"/>
      <c r="BE54" s="5">
        <f>COUNTA(BE17:BE52)</f>
        <v>0</v>
      </c>
      <c r="BF54" s="3"/>
      <c r="BG54" s="3"/>
    </row>
    <row r="55" spans="1:59" ht="13.5" thickBot="1" x14ac:dyDescent="0.25">
      <c r="L55" s="3"/>
      <c r="M55" s="3"/>
      <c r="O55" s="335">
        <f>IF(B54=0,"",IF(B54&gt;0,(O53+R53+U53)/3))</f>
        <v>0.83333333333333337</v>
      </c>
      <c r="P55" s="336"/>
      <c r="Q55" s="336"/>
      <c r="R55" s="336"/>
      <c r="S55" s="336"/>
      <c r="T55" s="336"/>
      <c r="U55" s="336"/>
      <c r="V55" s="336"/>
      <c r="W55" s="337"/>
      <c r="X55" s="335">
        <f>IF(B54=0,"",IF(B54&gt;0,(X53+AA53)/2))</f>
        <v>0.75</v>
      </c>
      <c r="Y55" s="336"/>
      <c r="Z55" s="336"/>
      <c r="AA55" s="336"/>
      <c r="AB55" s="336"/>
      <c r="AC55" s="337"/>
      <c r="AD55" s="3">
        <f>COUNTIF(O17:O52,0)</f>
        <v>34</v>
      </c>
      <c r="AE55" s="3">
        <f>COUNTIF(R17:R52,0)</f>
        <v>34</v>
      </c>
      <c r="AF55" s="3">
        <f>COUNTIF(U17:U52,0)</f>
        <v>34</v>
      </c>
      <c r="AG55" s="3">
        <f>COUNTIF(X17:X52,0)</f>
        <v>34</v>
      </c>
      <c r="AH55" s="3">
        <f>COUNTIF(AA17:AA52,0)</f>
        <v>34</v>
      </c>
      <c r="AI55" s="3">
        <f>COUNTIF(AV17:AV52,"")</f>
        <v>33</v>
      </c>
      <c r="AJ55" s="106" t="e">
        <f>AJ53/K65*K67</f>
        <v>#DIV/0!</v>
      </c>
      <c r="AK55" s="106" t="e">
        <f>AK53/L65*L67</f>
        <v>#DIV/0!</v>
      </c>
      <c r="AL55" s="106">
        <f>AL53/M65*M67</f>
        <v>0.26666666666666666</v>
      </c>
      <c r="AM55" s="106">
        <f>AM53/N65*N67</f>
        <v>0.26666666666666666</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3</v>
      </c>
      <c r="BA55" s="3"/>
      <c r="BB55" s="5"/>
      <c r="BC55" s="5"/>
      <c r="BD55" s="5"/>
      <c r="BE55" s="5"/>
      <c r="BF55" s="3"/>
      <c r="BG55" s="3"/>
    </row>
    <row r="56" spans="1:59" ht="20.25" thickBot="1" x14ac:dyDescent="0.45">
      <c r="B56" s="46" t="s">
        <v>7</v>
      </c>
      <c r="C56" s="174"/>
      <c r="D56" s="174"/>
      <c r="E56" s="174"/>
      <c r="F56" s="174"/>
      <c r="G56" s="174"/>
      <c r="H56" s="174"/>
      <c r="I56" s="174"/>
      <c r="J56" s="329">
        <f>J1</f>
        <v>6</v>
      </c>
      <c r="K56" s="330"/>
      <c r="L56" s="331"/>
      <c r="M56" s="32"/>
      <c r="O56" s="137"/>
      <c r="P56" s="137"/>
      <c r="Q56" s="137"/>
      <c r="R56" s="137"/>
      <c r="S56" s="137"/>
      <c r="T56" s="137"/>
      <c r="U56" s="137"/>
      <c r="V56" s="137"/>
      <c r="W56" s="137"/>
      <c r="X56" s="137"/>
      <c r="Y56" s="137"/>
      <c r="Z56" s="137"/>
      <c r="AA56" s="137"/>
      <c r="AB56" s="137"/>
      <c r="AC56" s="137"/>
      <c r="AD56" s="3">
        <f t="shared" ref="AD56:AI56" si="45">36-AD55</f>
        <v>2</v>
      </c>
      <c r="AE56" s="3">
        <f t="shared" si="45"/>
        <v>2</v>
      </c>
      <c r="AF56" s="3">
        <f t="shared" si="45"/>
        <v>2</v>
      </c>
      <c r="AG56" s="3">
        <f t="shared" si="45"/>
        <v>2</v>
      </c>
      <c r="AH56" s="3">
        <f t="shared" si="45"/>
        <v>2</v>
      </c>
      <c r="AI56" s="3">
        <f t="shared" si="45"/>
        <v>3</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0">
        <f>J2</f>
        <v>0</v>
      </c>
      <c r="K57" s="321"/>
      <c r="L57" s="322"/>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f>AD54</f>
        <v>1</v>
      </c>
      <c r="K60" s="106">
        <f>AE54</f>
        <v>1</v>
      </c>
      <c r="L60" s="106">
        <f>AF54</f>
        <v>0.5</v>
      </c>
      <c r="M60" s="106">
        <f>AG54</f>
        <v>0.5</v>
      </c>
      <c r="N60" s="106">
        <f>AH54</f>
        <v>1</v>
      </c>
      <c r="O60" s="106">
        <f>$AV$53</f>
        <v>0.53333333333333333</v>
      </c>
      <c r="P60" s="140" t="str">
        <f>$AW$53</f>
        <v/>
      </c>
      <c r="Q60" s="106">
        <f>$AZ$53</f>
        <v>1</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2</v>
      </c>
      <c r="N65" s="1">
        <f>COUNTIF($J$17:$J$52,"D")</f>
        <v>1</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f>K65/$B$53</f>
        <v>0</v>
      </c>
      <c r="L67" s="106">
        <f>L65/$B$53</f>
        <v>0</v>
      </c>
      <c r="M67" s="106">
        <f>M65/$B$53</f>
        <v>0.66666666666666663</v>
      </c>
      <c r="N67" s="106">
        <f>N65/$B$53</f>
        <v>0.33333333333333331</v>
      </c>
      <c r="O67" s="106">
        <f>O65/$B$53</f>
        <v>0</v>
      </c>
      <c r="P67" s="106"/>
      <c r="Q67" s="106"/>
    </row>
    <row r="68" spans="10:17" x14ac:dyDescent="0.2">
      <c r="J68" s="142" t="s">
        <v>85</v>
      </c>
      <c r="K68" s="106" t="e">
        <f>AJ55</f>
        <v>#DIV/0!</v>
      </c>
      <c r="L68" s="106" t="e">
        <f>AK55</f>
        <v>#DIV/0!</v>
      </c>
      <c r="M68" s="106">
        <f>AL55</f>
        <v>0.26666666666666666</v>
      </c>
      <c r="N68" s="106">
        <f>AM55</f>
        <v>0.26666666666666666</v>
      </c>
      <c r="O68" s="106" t="e">
        <f>AN55</f>
        <v>#DIV/0!</v>
      </c>
      <c r="P68" s="106"/>
      <c r="Q68" s="106"/>
    </row>
    <row r="69" spans="10:17" x14ac:dyDescent="0.2">
      <c r="J69" s="142" t="s">
        <v>86</v>
      </c>
      <c r="K69" s="106">
        <f>K66/$B$53</f>
        <v>0</v>
      </c>
      <c r="L69" s="106">
        <f>L66/$B$53</f>
        <v>0</v>
      </c>
      <c r="M69" s="106">
        <f>M66/$B$53</f>
        <v>0</v>
      </c>
      <c r="N69" s="106">
        <f>N66/$B$53</f>
        <v>0</v>
      </c>
      <c r="O69" s="106">
        <f>O66/$B$53</f>
        <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f>IF($E$6="ja",K67,IF($E6="nee",K69))</f>
        <v>0</v>
      </c>
      <c r="L71" s="106">
        <f>IF($E$6="ja",L67,IF($E6="nee",L69))</f>
        <v>0</v>
      </c>
      <c r="M71" s="106">
        <f>IF($E$6="ja",M67,IF($E6="nee",M69))</f>
        <v>0.66666666666666663</v>
      </c>
      <c r="N71" s="106">
        <f>IF($E$6="ja",N67,IF($E6="nee",N69))</f>
        <v>0.33333333333333331</v>
      </c>
      <c r="O71" s="106">
        <f>IF($E$6="ja",O67,IF($E6="nee",O69))</f>
        <v>0</v>
      </c>
      <c r="P71" s="106"/>
      <c r="Q71" s="106"/>
    </row>
    <row r="72" spans="10:17" x14ac:dyDescent="0.2">
      <c r="J72" s="142" t="s">
        <v>89</v>
      </c>
      <c r="K72" s="106" t="e">
        <f>IF($E$6="ja",K68,IF($E$6="nee",K70))</f>
        <v>#DIV/0!</v>
      </c>
      <c r="L72" s="106" t="e">
        <f>IF($E$6="ja",L68,IF($E$6="nee",L70))</f>
        <v>#DIV/0!</v>
      </c>
      <c r="M72" s="106">
        <f>IF($E$6="ja",M68,IF($E$6="nee",M70))</f>
        <v>0.26666666666666666</v>
      </c>
      <c r="N72" s="106">
        <f>IF($E$6="ja",N68,IF($E$6="nee",N70))</f>
        <v>0.26666666666666666</v>
      </c>
      <c r="O72" s="106" t="e">
        <f>IF($E$6="ja",O68,IF($E$6="nee",O70))</f>
        <v>#DIV/0!</v>
      </c>
      <c r="P72" s="106"/>
      <c r="Q72" s="106"/>
    </row>
  </sheetData>
  <sheetProtection algorithmName="SHA-512" hashValue="D+qlByhCH2mrvP+1N4O9Xefh2SsZnqLBwjn7uBGas+9VLh0w6jZCTReWQ2sjDxgvexJKQifbxQZ/igKweXBKPg==" saltValue="nTLrB1YYLVt3dWVCwGf2/Q==" spinCount="100000" sheet="1" objects="1" scenarios="1"/>
  <mergeCells count="20">
    <mergeCell ref="R53:T53"/>
    <mergeCell ref="U53:W53"/>
    <mergeCell ref="X53:Z53"/>
    <mergeCell ref="AA53:AC53"/>
    <mergeCell ref="J57:L57"/>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s>
  <phoneticPr fontId="3" type="noConversion"/>
  <conditionalFormatting sqref="AZ17:AZ52">
    <cfRule type="cellIs" dxfId="476" priority="5" stopIfTrue="1" operator="equal">
      <formula>"x"</formula>
    </cfRule>
    <cfRule type="expression" dxfId="475" priority="6" stopIfTrue="1">
      <formula>$B17&gt;0</formula>
    </cfRule>
    <cfRule type="cellIs" dxfId="474" priority="7" stopIfTrue="1" operator="equal">
      <formula>""</formula>
    </cfRule>
  </conditionalFormatting>
  <conditionalFormatting sqref="BB17:BB52">
    <cfRule type="expression" dxfId="473" priority="8" stopIfTrue="1">
      <formula>$BC17=""</formula>
    </cfRule>
    <cfRule type="expression" dxfId="472" priority="9" stopIfTrue="1">
      <formula>$BC17&lt;$BA17</formula>
    </cfRule>
    <cfRule type="expression" dxfId="471" priority="10" stopIfTrue="1">
      <formula>$BC17&gt;=$BA17</formula>
    </cfRule>
  </conditionalFormatting>
  <conditionalFormatting sqref="BE17:BE52">
    <cfRule type="expression" dxfId="470" priority="11" stopIfTrue="1">
      <formula>$BF17=""</formula>
    </cfRule>
    <cfRule type="expression" dxfId="469" priority="12" stopIfTrue="1">
      <formula>$BF17&lt;$BC17</formula>
    </cfRule>
    <cfRule type="expression" dxfId="468" priority="13" stopIfTrue="1">
      <formula>$BF17&gt;=$BC17</formula>
    </cfRule>
  </conditionalFormatting>
  <conditionalFormatting sqref="E17:E52">
    <cfRule type="expression" dxfId="467" priority="17" stopIfTrue="1">
      <formula>$E17=""</formula>
    </cfRule>
    <cfRule type="expression" dxfId="466" priority="18" stopIfTrue="1">
      <formula>$E17&gt;$C17</formula>
    </cfRule>
    <cfRule type="expression" dxfId="465" priority="19" stopIfTrue="1">
      <formula>$E17&lt;$C17</formula>
    </cfRule>
  </conditionalFormatting>
  <conditionalFormatting sqref="B17:B52">
    <cfRule type="cellIs" dxfId="464" priority="20" stopIfTrue="1" operator="equal">
      <formula>""</formula>
    </cfRule>
    <cfRule type="cellIs" dxfId="463" priority="21" stopIfTrue="1" operator="equal">
      <formula>0</formula>
    </cfRule>
    <cfRule type="expression" dxfId="462" priority="22" stopIfTrue="1">
      <formula>$AV17&lt;0.8</formula>
    </cfRule>
  </conditionalFormatting>
  <conditionalFormatting sqref="E6:E7 J8:K8">
    <cfRule type="cellIs" dxfId="461" priority="23" stopIfTrue="1" operator="equal">
      <formula>"ja"</formula>
    </cfRule>
    <cfRule type="cellIs" dxfId="460" priority="24" stopIfTrue="1" operator="equal">
      <formula>"nee"</formula>
    </cfRule>
  </conditionalFormatting>
  <conditionalFormatting sqref="BA17:BA52 BG53 BA53:BE53">
    <cfRule type="expression" dxfId="459" priority="25" stopIfTrue="1">
      <formula>$U$2="ja"</formula>
    </cfRule>
    <cfRule type="expression" dxfId="458" priority="26" stopIfTrue="1">
      <formula>$X$2="ja"</formula>
    </cfRule>
  </conditionalFormatting>
  <conditionalFormatting sqref="BE10:BE12 BB10:BB12">
    <cfRule type="expression" dxfId="457" priority="27" stopIfTrue="1">
      <formula>$X$2="ja"</formula>
    </cfRule>
  </conditionalFormatting>
  <conditionalFormatting sqref="BC17:BD52 BF17:BG52">
    <cfRule type="expression" dxfId="456" priority="28" stopIfTrue="1">
      <formula>$X$2="ja"</formula>
    </cfRule>
  </conditionalFormatting>
  <conditionalFormatting sqref="AW53">
    <cfRule type="cellIs" dxfId="455" priority="29" stopIfTrue="1" operator="equal">
      <formula>""</formula>
    </cfRule>
    <cfRule type="cellIs" dxfId="454" priority="30" stopIfTrue="1" operator="greaterThan">
      <formula>0.03</formula>
    </cfRule>
  </conditionalFormatting>
  <conditionalFormatting sqref="AW17:AW52">
    <cfRule type="cellIs" dxfId="453" priority="31" stopIfTrue="1" operator="equal">
      <formula>1</formula>
    </cfRule>
    <cfRule type="cellIs" dxfId="452" priority="32" stopIfTrue="1" operator="equal">
      <formula>""</formula>
    </cfRule>
  </conditionalFormatting>
  <conditionalFormatting sqref="AY17:AY52">
    <cfRule type="cellIs" dxfId="451" priority="33" stopIfTrue="1" operator="equal">
      <formula>1</formula>
    </cfRule>
    <cfRule type="cellIs" dxfId="450" priority="34" stopIfTrue="1" operator="lessThan">
      <formula>1</formula>
    </cfRule>
    <cfRule type="cellIs" dxfId="449" priority="35" stopIfTrue="1" operator="equal">
      <formula>""</formula>
    </cfRule>
  </conditionalFormatting>
  <conditionalFormatting sqref="AV10:AV12">
    <cfRule type="cellIs" dxfId="448" priority="36" stopIfTrue="1" operator="equal">
      <formula>1</formula>
    </cfRule>
    <cfRule type="cellIs" dxfId="447" priority="37" stopIfTrue="1" operator="lessThan">
      <formula>1</formula>
    </cfRule>
  </conditionalFormatting>
  <conditionalFormatting sqref="N10:N12">
    <cfRule type="expression" dxfId="446" priority="38" stopIfTrue="1">
      <formula>$U$2="ja"</formula>
    </cfRule>
    <cfRule type="expression" dxfId="445" priority="39" stopIfTrue="1">
      <formula>$X$2="ja"</formula>
    </cfRule>
  </conditionalFormatting>
  <conditionalFormatting sqref="O10:Q12">
    <cfRule type="expression" dxfId="444" priority="40" stopIfTrue="1">
      <formula>$U$1="ja"</formula>
    </cfRule>
    <cfRule type="expression" dxfId="443" priority="41" stopIfTrue="1">
      <formula>$X$1="ja"</formula>
    </cfRule>
    <cfRule type="expression" dxfId="442" priority="42" stopIfTrue="1">
      <formula>$AD$1="ja"</formula>
    </cfRule>
  </conditionalFormatting>
  <conditionalFormatting sqref="R10:T12">
    <cfRule type="expression" dxfId="441" priority="43" stopIfTrue="1">
      <formula>$AA$1="ja"</formula>
    </cfRule>
    <cfRule type="expression" dxfId="440" priority="44" stopIfTrue="1">
      <formula>$AD$1="ja"</formula>
    </cfRule>
  </conditionalFormatting>
  <conditionalFormatting sqref="U11:U12">
    <cfRule type="expression" dxfId="439" priority="45" stopIfTrue="1">
      <formula>$AD$1="ja"</formula>
    </cfRule>
  </conditionalFormatting>
  <conditionalFormatting sqref="X10:X12 AA10:AC12">
    <cfRule type="expression" dxfId="438" priority="46" stopIfTrue="1">
      <formula>$X$1="ja"</formula>
    </cfRule>
    <cfRule type="expression" dxfId="437" priority="47" stopIfTrue="1">
      <formula>$AA$1="ja"</formula>
    </cfRule>
    <cfRule type="expression" dxfId="436" priority="48" stopIfTrue="1">
      <formula>$AD$1="ja"</formula>
    </cfRule>
  </conditionalFormatting>
  <conditionalFormatting sqref="AU17:AU52">
    <cfRule type="cellIs" dxfId="435" priority="49" stopIfTrue="1" operator="notEqual">
      <formula>""</formula>
    </cfRule>
  </conditionalFormatting>
  <conditionalFormatting sqref="M17:M52">
    <cfRule type="cellIs" dxfId="434" priority="50" stopIfTrue="1" operator="equal">
      <formula>"x"</formula>
    </cfRule>
    <cfRule type="cellIs" dxfId="433" priority="51" stopIfTrue="1" operator="equal">
      <formula>""</formula>
    </cfRule>
  </conditionalFormatting>
  <conditionalFormatting sqref="H17:I52">
    <cfRule type="cellIs" dxfId="432" priority="52" stopIfTrue="1" operator="equal">
      <formula>""</formula>
    </cfRule>
  </conditionalFormatting>
  <conditionalFormatting sqref="L17:L52">
    <cfRule type="cellIs" dxfId="431" priority="53" stopIfTrue="1" operator="equal">
      <formula>"x"</formula>
    </cfRule>
    <cfRule type="cellIs" dxfId="430" priority="54" stopIfTrue="1" operator="equal">
      <formula>""</formula>
    </cfRule>
  </conditionalFormatting>
  <conditionalFormatting sqref="N17:N52">
    <cfRule type="cellIs" dxfId="429" priority="55" stopIfTrue="1" operator="equal">
      <formula>""</formula>
    </cfRule>
    <cfRule type="cellIs" dxfId="428" priority="56" stopIfTrue="1" operator="greaterThan">
      <formula>""</formula>
    </cfRule>
  </conditionalFormatting>
  <conditionalFormatting sqref="J17:K52">
    <cfRule type="cellIs" dxfId="427" priority="57" stopIfTrue="1" operator="equal">
      <formula>""</formula>
    </cfRule>
  </conditionalFormatting>
  <conditionalFormatting sqref="F17:G52">
    <cfRule type="expression" dxfId="426" priority="58" stopIfTrue="1">
      <formula>""</formula>
    </cfRule>
  </conditionalFormatting>
  <conditionalFormatting sqref="S17:S52 V17:V52 Y17:Y52 P17:P52 AB17:AB52">
    <cfRule type="cellIs" dxfId="425" priority="59" stopIfTrue="1" operator="equal">
      <formula>0</formula>
    </cfRule>
    <cfRule type="cellIs" dxfId="424" priority="60" stopIfTrue="1" operator="greaterThan">
      <formula>0</formula>
    </cfRule>
  </conditionalFormatting>
  <conditionalFormatting sqref="Q17:Q52 T17:T52 W17:W52 Z17:Z52 AC17:AC52">
    <cfRule type="cellIs" dxfId="423" priority="61" stopIfTrue="1" operator="equal">
      <formula>""</formula>
    </cfRule>
    <cfRule type="cellIs" dxfId="422" priority="62" stopIfTrue="1" operator="greaterThanOrEqual">
      <formula>1.3</formula>
    </cfRule>
    <cfRule type="cellIs" dxfId="421" priority="63" stopIfTrue="1" operator="lessThan">
      <formula>0.8</formula>
    </cfRule>
  </conditionalFormatting>
  <conditionalFormatting sqref="AV17:AV52">
    <cfRule type="cellIs" dxfId="420" priority="64" stopIfTrue="1" operator="equal">
      <formula>1</formula>
    </cfRule>
    <cfRule type="cellIs" dxfId="419" priority="65" stopIfTrue="1" operator="lessThan">
      <formula>0.8</formula>
    </cfRule>
    <cfRule type="cellIs" dxfId="418" priority="66" stopIfTrue="1" operator="between">
      <formula>0.8</formula>
      <formula>1</formula>
    </cfRule>
  </conditionalFormatting>
  <conditionalFormatting sqref="D17:D52">
    <cfRule type="cellIs" dxfId="417" priority="67" stopIfTrue="1" operator="equal">
      <formula>""</formula>
    </cfRule>
    <cfRule type="cellIs" dxfId="416" priority="68" stopIfTrue="1" operator="greaterThan">
      <formula>""</formula>
    </cfRule>
  </conditionalFormatting>
  <conditionalFormatting sqref="O17:O52">
    <cfRule type="cellIs" dxfId="415" priority="69" stopIfTrue="1" operator="equal">
      <formula>0</formula>
    </cfRule>
    <cfRule type="expression" dxfId="414" priority="70" stopIfTrue="1">
      <formula>$Q17&gt;=0.8</formula>
    </cfRule>
    <cfRule type="expression" dxfId="413" priority="71" stopIfTrue="1">
      <formula>$Q17&lt;0.8</formula>
    </cfRule>
  </conditionalFormatting>
  <conditionalFormatting sqref="R17:R52">
    <cfRule type="cellIs" dxfId="412" priority="72" stopIfTrue="1" operator="equal">
      <formula>0</formula>
    </cfRule>
    <cfRule type="expression" dxfId="411" priority="73" stopIfTrue="1">
      <formula>$T17&gt;=0.8</formula>
    </cfRule>
    <cfRule type="expression" dxfId="410" priority="74" stopIfTrue="1">
      <formula>$T17&lt;0.8</formula>
    </cfRule>
  </conditionalFormatting>
  <conditionalFormatting sqref="U17:U52">
    <cfRule type="cellIs" dxfId="409" priority="75" stopIfTrue="1" operator="equal">
      <formula>0</formula>
    </cfRule>
    <cfRule type="expression" dxfId="408" priority="76" stopIfTrue="1">
      <formula>$W17&gt;=0.8</formula>
    </cfRule>
    <cfRule type="expression" dxfId="407" priority="77" stopIfTrue="1">
      <formula>$W17&lt;0.8</formula>
    </cfRule>
  </conditionalFormatting>
  <conditionalFormatting sqref="X17:X52">
    <cfRule type="cellIs" dxfId="406" priority="78" stopIfTrue="1" operator="equal">
      <formula>0</formula>
    </cfRule>
    <cfRule type="expression" dxfId="405" priority="79" stopIfTrue="1">
      <formula>$Z17&gt;=0.8</formula>
    </cfRule>
    <cfRule type="expression" dxfId="404" priority="80" stopIfTrue="1">
      <formula>$Z17&lt;0.8</formula>
    </cfRule>
  </conditionalFormatting>
  <conditionalFormatting sqref="AA17:AA52">
    <cfRule type="cellIs" dxfId="403" priority="81" stopIfTrue="1" operator="equal">
      <formula>0</formula>
    </cfRule>
    <cfRule type="expression" dxfId="402" priority="82" stopIfTrue="1">
      <formula>$AC17&gt;=0.8</formula>
    </cfRule>
    <cfRule type="expression" dxfId="401" priority="83" stopIfTrue="1">
      <formula>$AC17&lt;0.8</formula>
    </cfRule>
  </conditionalFormatting>
  <conditionalFormatting sqref="Y10:Z12">
    <cfRule type="expression" dxfId="400" priority="163" stopIfTrue="1">
      <formula>$AA$1="ja"</formula>
    </cfRule>
    <cfRule type="expression" dxfId="399" priority="164" stopIfTrue="1">
      <formula>$AD$1="ja"</formula>
    </cfRule>
    <cfRule type="expression" dxfId="398" priority="165" stopIfTrue="1">
      <formula>$X$1="ja"</formula>
    </cfRule>
  </conditionalFormatting>
  <conditionalFormatting sqref="U10 V10:W12">
    <cfRule type="expression" dxfId="397" priority="166" stopIfTrue="1">
      <formula>$AD$1="ja"</formula>
    </cfRule>
  </conditionalFormatting>
  <conditionalFormatting sqref="C17:C52">
    <cfRule type="expression" dxfId="396" priority="2" stopIfTrue="1">
      <formula>$C17=""</formula>
    </cfRule>
    <cfRule type="expression" dxfId="395" priority="3" stopIfTrue="1">
      <formula>$C17&gt;$E17</formula>
    </cfRule>
    <cfRule type="expression" dxfId="394" priority="4" stopIfTrue="1">
      <formula>$C17&lt;$E17</formula>
    </cfRule>
  </conditionalFormatting>
  <conditionalFormatting sqref="AT17:AT52">
    <cfRule type="cellIs" dxfId="393"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V39"/>
  <sheetViews>
    <sheetView showGridLines="0" showRowColHeaders="0" zoomScale="75" zoomScaleNormal="75" workbookViewId="0">
      <selection activeCell="F4" sqref="F4"/>
    </sheetView>
  </sheetViews>
  <sheetFormatPr defaultRowHeight="12.75" x14ac:dyDescent="0.2"/>
  <cols>
    <col min="1" max="1" width="4.140625" bestFit="1" customWidth="1"/>
    <col min="2" max="2" width="20.7109375" style="33" customWidth="1"/>
    <col min="3" max="3" width="4" customWidth="1"/>
    <col min="5" max="5" width="18" customWidth="1"/>
    <col min="6" max="10" width="11.140625" bestFit="1" customWidth="1"/>
    <col min="11" max="11" width="9.28515625" bestFit="1" customWidth="1"/>
    <col min="12" max="12" width="9.85546875" bestFit="1" customWidth="1"/>
    <col min="19" max="19" width="18.140625" style="1" bestFit="1" customWidth="1"/>
    <col min="20" max="20" width="12.85546875" style="1" customWidth="1"/>
    <col min="21" max="21" width="18.42578125" style="1" bestFit="1" customWidth="1"/>
    <col min="22" max="22" width="15.5703125" style="1" bestFit="1" customWidth="1"/>
  </cols>
  <sheetData>
    <row r="1" spans="1:22" ht="13.5" thickBot="1" x14ac:dyDescent="0.25"/>
    <row r="2" spans="1:22" ht="21.75" thickBot="1" x14ac:dyDescent="0.45">
      <c r="A2" s="41"/>
      <c r="B2" s="42" t="str">
        <f>BEGINBLAD!A5</f>
        <v>namen leerlingen:</v>
      </c>
      <c r="D2" s="354" t="s">
        <v>7</v>
      </c>
      <c r="E2" s="361"/>
      <c r="F2" s="311">
        <v>6</v>
      </c>
      <c r="G2" s="355" t="str">
        <f>VLOOKUP($F$4,BEGINBLAD!A1:C41,2)</f>
        <v>leerling 2</v>
      </c>
      <c r="H2" s="355"/>
      <c r="I2" s="355"/>
      <c r="J2" s="355"/>
      <c r="K2" s="355"/>
      <c r="L2" s="355"/>
      <c r="M2" s="355"/>
      <c r="N2" s="356"/>
      <c r="S2" s="220" t="s">
        <v>106</v>
      </c>
      <c r="T2" s="232" t="s">
        <v>55</v>
      </c>
      <c r="U2" s="232" t="s">
        <v>107</v>
      </c>
      <c r="V2" s="233" t="s">
        <v>108</v>
      </c>
    </row>
    <row r="3" spans="1:22" ht="13.5" thickBot="1" x14ac:dyDescent="0.25">
      <c r="A3" s="37">
        <f>BEGINBLAD!A6</f>
        <v>1</v>
      </c>
      <c r="B3" s="38" t="str">
        <f>BEGINBLAD!B6</f>
        <v>leerling 1</v>
      </c>
    </row>
    <row r="4" spans="1:22" ht="21.75" thickBot="1" x14ac:dyDescent="0.45">
      <c r="A4" s="37">
        <f>BEGINBLAD!A7</f>
        <v>2</v>
      </c>
      <c r="B4" s="38" t="str">
        <f>BEGINBLAD!B7</f>
        <v>leerling 2</v>
      </c>
      <c r="D4" s="352" t="s">
        <v>24</v>
      </c>
      <c r="E4" s="353"/>
      <c r="F4" s="217">
        <v>2</v>
      </c>
      <c r="G4" s="357" t="s">
        <v>145</v>
      </c>
      <c r="H4" s="358"/>
      <c r="I4" s="359">
        <f>VLOOKUP($F$4,BEGINBLAD!A6:C41,3)</f>
        <v>38056</v>
      </c>
      <c r="J4" s="359"/>
      <c r="K4" s="359"/>
      <c r="L4" s="359"/>
      <c r="M4" s="359"/>
      <c r="N4" s="360"/>
      <c r="S4" s="220" t="s">
        <v>109</v>
      </c>
      <c r="T4" s="224" t="str">
        <f>VLOOKUP($F$4,'RIO - E6'!$A$17:$AB$52,10)</f>
        <v>D</v>
      </c>
      <c r="U4" s="231">
        <f>VLOOKUP($F$4,'RIO - E6'!$A$17:$AB$52,11)</f>
        <v>1.6</v>
      </c>
      <c r="V4" s="230">
        <v>1</v>
      </c>
    </row>
    <row r="5" spans="1:22" x14ac:dyDescent="0.2">
      <c r="A5" s="37">
        <f>BEGINBLAD!A8</f>
        <v>3</v>
      </c>
      <c r="B5" s="38" t="str">
        <f>BEGINBLAD!B8</f>
        <v>leerling 3</v>
      </c>
    </row>
    <row r="6" spans="1:22" ht="15" x14ac:dyDescent="0.3">
      <c r="A6" s="37">
        <f>BEGINBLAD!A9</f>
        <v>4</v>
      </c>
      <c r="B6" s="38">
        <f>BEGINBLAD!B9</f>
        <v>0</v>
      </c>
      <c r="S6" s="239" t="s">
        <v>8</v>
      </c>
      <c r="T6" s="246" t="str">
        <f>VLOOKUP($F$4,'RIO - E6'!$A$17:$AB$52,15)</f>
        <v>D</v>
      </c>
      <c r="U6" s="240">
        <f>VLOOKUP($F$4,'RIO - E6'!$A$17:$AB$52,16)</f>
        <v>1.5</v>
      </c>
      <c r="V6" s="241">
        <f>VLOOKUP($F$4,'RIO - E6'!$A$17:$AB$52,17)</f>
        <v>0.9375</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t="str">
        <f>VLOOKUP($F$4,'RIO - E6'!$A$17:$AB$52,18)</f>
        <v>D</v>
      </c>
      <c r="U8" s="227">
        <f>VLOOKUP($F$4,'RIO - E6'!$A$17:$AB$52,19)</f>
        <v>1.7</v>
      </c>
      <c r="V8" s="225">
        <f>VLOOKUP($F$4,'RIO - E6'!$A$17:$AB$52,20)</f>
        <v>1.0625</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f>VLOOKUP($F$4,'RIO - E6'!$A$17:$AB$52,17)</f>
        <v>0.9375</v>
      </c>
      <c r="G10" s="219">
        <f>VLOOKUP($F$4,'RIO - E6'!$A$17:$AB$52,20)</f>
        <v>1.0625</v>
      </c>
      <c r="H10" s="219">
        <f>VLOOKUP($F$4,'RIO - E6'!$A$17:$AB$52,23)</f>
        <v>1</v>
      </c>
      <c r="I10" s="219">
        <f>VLOOKUP($F$4,'RIO - E6'!$A$17:$AB$52,26)</f>
        <v>0.37499999999999994</v>
      </c>
      <c r="J10" s="219">
        <f>VLOOKUP($F$4,'RIO - E6'!$A$17:$AC$52,29)</f>
        <v>1.1874999999999998</v>
      </c>
      <c r="K10" s="219" t="str">
        <f>VLOOKUP($F$4,'RIO - E6'!$A$17:$AB$52,10)</f>
        <v>D</v>
      </c>
      <c r="L10" s="32"/>
      <c r="M10" s="32"/>
      <c r="S10" s="221" t="s">
        <v>10</v>
      </c>
      <c r="T10" s="247" t="str">
        <f>VLOOKUP($F$4,'RIO - E6'!$A$17:$AB$52,21)</f>
        <v>D</v>
      </c>
      <c r="U10" s="227">
        <f>VLOOKUP($F$4,'RIO - E6'!$A$17:$AB$52,22)</f>
        <v>1.6</v>
      </c>
      <c r="V10" s="225">
        <f>VLOOKUP($F$4,'RIO - E6'!$A$17:$AB$52,23)</f>
        <v>1</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f>F10*L12</f>
        <v>0.375</v>
      </c>
      <c r="G12" s="218">
        <f>G10*L12</f>
        <v>0.42500000000000004</v>
      </c>
      <c r="H12" s="218">
        <f>H10*L12</f>
        <v>0.4</v>
      </c>
      <c r="I12" s="218">
        <f>I10*L12</f>
        <v>0.15</v>
      </c>
      <c r="J12" s="218">
        <f>J10*L12</f>
        <v>0.47499999999999992</v>
      </c>
      <c r="K12" s="218">
        <f>0.8*L12</f>
        <v>0.32000000000000006</v>
      </c>
      <c r="L12" s="218">
        <f>IF(K10="A",1,IF(K10="B",0.8,IF(K10="C",0.6,IF(K10="D",0.4,IF(K10="E",0.2)))))</f>
        <v>0.4</v>
      </c>
      <c r="S12" s="221" t="s">
        <v>11</v>
      </c>
      <c r="T12" s="247" t="str">
        <f>VLOOKUP($F$4,'RIO - E6'!$A$17:$AB$52,24)</f>
        <v>E</v>
      </c>
      <c r="U12" s="227">
        <f>VLOOKUP($F$4,'RIO - E6'!$A$17:$AB$52,25)</f>
        <v>0.6</v>
      </c>
      <c r="V12" s="225">
        <f>VLOOKUP($F$4,'RIO - E6'!$A$17:$AB$52,26)</f>
        <v>0.37499999999999994</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t="str">
        <f>VLOOKUP($F$4,'RIO - E6'!$A$17:$AC$52,27)</f>
        <v>D</v>
      </c>
      <c r="U14" s="229">
        <f>VLOOKUP($F$4,'RIO - E6'!$A$17:$AC$52,28)</f>
        <v>1.9</v>
      </c>
      <c r="V14" s="226">
        <f>VLOOKUP($F$4,'RIO - E6'!$A$17:$AC$52,29)</f>
        <v>1.1874999999999998</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D</v>
      </c>
      <c r="U16" s="234">
        <f>AVERAGE(U6:U14)</f>
        <v>1.4600000000000002</v>
      </c>
      <c r="V16" s="235">
        <f>VLOOKUP($F$4,'RIO - E6'!$A$17:$AC$52,14)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f>(U4/8)*10</f>
        <v>2</v>
      </c>
    </row>
    <row r="20" spans="1:21" x14ac:dyDescent="0.2">
      <c r="A20" s="37">
        <f>BEGINBLAD!A23</f>
        <v>18</v>
      </c>
      <c r="B20" s="38">
        <f>BEGINBLAD!B23</f>
        <v>0</v>
      </c>
      <c r="U20" s="5">
        <f>U4*0.8</f>
        <v>1.2800000000000002</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rWUug39Dyqh6jkSGO4Ho4ayaeXEfEYWgzZGljd1Vbkcx6IEAddzoLKoY34LhtrI0klloWYdU8uJrne38kf0L5Q==" saltValue="P+ZEtESJDTBm6ZXODsqbVw==" spinCount="100000" sheet="1" objects="1" scenarios="1"/>
  <mergeCells count="5">
    <mergeCell ref="D4:E4"/>
    <mergeCell ref="D2:E2"/>
    <mergeCell ref="G2:N2"/>
    <mergeCell ref="G4:H4"/>
    <mergeCell ref="I4:N4"/>
  </mergeCells>
  <phoneticPr fontId="3" type="noConversion"/>
  <conditionalFormatting sqref="V6:V14">
    <cfRule type="cellIs" dxfId="392" priority="1" stopIfTrue="1" operator="between">
      <formula>0.001</formula>
      <formula>0.8</formula>
    </cfRule>
    <cfRule type="cellIs" dxfId="391" priority="2" stopIfTrue="1" operator="greaterThanOrEqual">
      <formula>1.3</formula>
    </cfRule>
    <cfRule type="cellIs" dxfId="390" priority="3" stopIfTrue="1" operator="greaterThanOrEqual">
      <formula>1</formula>
    </cfRule>
  </conditionalFormatting>
  <conditionalFormatting sqref="V16">
    <cfRule type="cellIs" dxfId="389" priority="4" stopIfTrue="1" operator="equal">
      <formula>0</formula>
    </cfRule>
  </conditionalFormatting>
  <conditionalFormatting sqref="T6">
    <cfRule type="expression" dxfId="388" priority="5" stopIfTrue="1">
      <formula>$V$6&gt;=1.3</formula>
    </cfRule>
    <cfRule type="expression" dxfId="387" priority="6" stopIfTrue="1">
      <formula>$V$6&lt;0.8</formula>
    </cfRule>
    <cfRule type="expression" dxfId="386" priority="7" stopIfTrue="1">
      <formula>$V$6&lt;1</formula>
    </cfRule>
  </conditionalFormatting>
  <conditionalFormatting sqref="T8">
    <cfRule type="expression" dxfId="385" priority="8" stopIfTrue="1">
      <formula>$V$8&gt;=1.3</formula>
    </cfRule>
    <cfRule type="expression" dxfId="384" priority="9" stopIfTrue="1">
      <formula>$V$8&lt;0.8</formula>
    </cfRule>
    <cfRule type="expression" dxfId="383" priority="10" stopIfTrue="1">
      <formula>$V$8&lt;1</formula>
    </cfRule>
  </conditionalFormatting>
  <conditionalFormatting sqref="T10">
    <cfRule type="expression" dxfId="382" priority="11" stopIfTrue="1">
      <formula>$V$10&gt;=1.3</formula>
    </cfRule>
    <cfRule type="expression" dxfId="381" priority="12" stopIfTrue="1">
      <formula>$V$10&lt;0.8</formula>
    </cfRule>
    <cfRule type="expression" dxfId="380" priority="13" stopIfTrue="1">
      <formula>$V$10&lt;1</formula>
    </cfRule>
  </conditionalFormatting>
  <conditionalFormatting sqref="T12">
    <cfRule type="expression" dxfId="379" priority="14" stopIfTrue="1">
      <formula>$V$12&gt;=1.3</formula>
    </cfRule>
    <cfRule type="expression" dxfId="378" priority="15" stopIfTrue="1">
      <formula>$V$12&lt;0.8</formula>
    </cfRule>
    <cfRule type="expression" dxfId="377" priority="16" stopIfTrue="1">
      <formula>$V$12&lt;1</formula>
    </cfRule>
  </conditionalFormatting>
  <conditionalFormatting sqref="T14">
    <cfRule type="expression" dxfId="376" priority="17" stopIfTrue="1">
      <formula>$V$14&gt;=1.3</formula>
    </cfRule>
    <cfRule type="expression" dxfId="375" priority="18" stopIfTrue="1">
      <formula>$V$14&lt;0.8</formula>
    </cfRule>
    <cfRule type="expression" dxfId="374" priority="19" stopIfTrue="1">
      <formula>$V$14&lt;1</formula>
    </cfRule>
  </conditionalFormatting>
  <conditionalFormatting sqref="T16">
    <cfRule type="expression" dxfId="373" priority="20" stopIfTrue="1">
      <formula>$U$16&gt;=$U$19</formula>
    </cfRule>
    <cfRule type="expression" dxfId="372" priority="21" stopIfTrue="1">
      <formula>$U$16&lt;$U$20</formula>
    </cfRule>
    <cfRule type="expression" dxfId="371" priority="22" stopIfTrue="1">
      <formula>$T$16&lt;$U$4</formula>
    </cfRule>
  </conditionalFormatting>
  <pageMargins left="0.41" right="0.25" top="1" bottom="1" header="0.5" footer="0.5"/>
  <pageSetup paperSize="9" scale="64" orientation="landscape" horizontalDpi="4294967293" verticalDpi="0" r:id="rId1"/>
  <headerFooter alignWithMargins="0">
    <oddHeader>&amp;C&amp;14Ontwikkelings Perspectief (OP)</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4</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t="str">
        <f>BEGINBLAD!B6</f>
        <v>leerling 1</v>
      </c>
      <c r="D6" s="152"/>
      <c r="E6" s="153"/>
      <c r="F6" s="153"/>
      <c r="G6" s="153"/>
      <c r="H6" s="153"/>
      <c r="I6" s="162"/>
      <c r="J6" s="43">
        <f t="shared" ref="J6:J41" si="0">SUM(D6:I6)</f>
        <v>0</v>
      </c>
      <c r="K6" s="166">
        <f t="shared" ref="K6:K41" si="1">COUNTA(D6:I6)</f>
        <v>0</v>
      </c>
      <c r="L6" s="165"/>
      <c r="M6" s="156" t="str">
        <f t="shared" ref="M6:M41" si="2">IF(K6=0,"",IF(K6&gt;0,J6/K6))</f>
        <v/>
      </c>
      <c r="N6" s="157" t="str">
        <f t="shared" ref="N6:N41" si="3">IF(M6="","",IF(M6&gt;=4.5,"A+",IF(M6&gt;=4,"A",IF(M6&gt;=3,"B",IF(M6&gt;2.3,"C",IF(M6&gt;=2,"C-",IF(M6&gt;=1,"D",IF(M6&gt;0,"E"))))))))</f>
        <v/>
      </c>
      <c r="O6" s="24"/>
      <c r="P6" s="20"/>
    </row>
    <row r="7" spans="2:16" ht="19.5" customHeight="1" x14ac:dyDescent="0.2">
      <c r="B7" s="39">
        <v>2</v>
      </c>
      <c r="C7" s="27" t="str">
        <f>BEGINBLAD!B7</f>
        <v>leerling 2</v>
      </c>
      <c r="D7" s="152">
        <v>0.8</v>
      </c>
      <c r="E7" s="153">
        <v>0.9</v>
      </c>
      <c r="F7" s="153">
        <v>3</v>
      </c>
      <c r="G7" s="153">
        <v>1.9</v>
      </c>
      <c r="H7" s="153">
        <v>2.9</v>
      </c>
      <c r="I7" s="162">
        <v>2.1</v>
      </c>
      <c r="J7" s="43">
        <f t="shared" si="0"/>
        <v>11.6</v>
      </c>
      <c r="K7" s="166">
        <f t="shared" si="1"/>
        <v>6</v>
      </c>
      <c r="L7" s="165"/>
      <c r="M7" s="156">
        <f t="shared" si="2"/>
        <v>1.9333333333333333</v>
      </c>
      <c r="N7" s="157" t="str">
        <f t="shared" si="3"/>
        <v>D</v>
      </c>
      <c r="O7" s="19"/>
      <c r="P7" s="20"/>
    </row>
    <row r="8" spans="2:16" s="10" customFormat="1" ht="19.5" customHeight="1" x14ac:dyDescent="0.2">
      <c r="B8" s="39">
        <v>3</v>
      </c>
      <c r="C8" s="27" t="str">
        <f>BEGINBLAD!B8</f>
        <v>leerling 3</v>
      </c>
      <c r="D8" s="152">
        <v>2.5</v>
      </c>
      <c r="E8" s="153">
        <v>2.8</v>
      </c>
      <c r="F8" s="153">
        <v>3.1</v>
      </c>
      <c r="G8" s="153">
        <v>2</v>
      </c>
      <c r="H8" s="153">
        <v>1</v>
      </c>
      <c r="I8" s="162">
        <v>3.5</v>
      </c>
      <c r="J8" s="43">
        <f t="shared" si="0"/>
        <v>14.9</v>
      </c>
      <c r="K8" s="166">
        <f t="shared" si="1"/>
        <v>6</v>
      </c>
      <c r="L8" s="165"/>
      <c r="M8" s="156">
        <f t="shared" si="2"/>
        <v>2.4833333333333334</v>
      </c>
      <c r="N8" s="157" t="str">
        <f t="shared" si="3"/>
        <v>C</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f t="shared" ref="D42:K42" si="4">AVERAGE(D6:D41)</f>
        <v>1.65</v>
      </c>
      <c r="E42" s="169">
        <f t="shared" si="4"/>
        <v>1.8499999999999999</v>
      </c>
      <c r="F42" s="169">
        <f t="shared" si="4"/>
        <v>3.05</v>
      </c>
      <c r="G42" s="169">
        <f t="shared" si="4"/>
        <v>1.95</v>
      </c>
      <c r="H42" s="169">
        <f t="shared" si="4"/>
        <v>1.95</v>
      </c>
      <c r="I42" s="169">
        <f t="shared" si="4"/>
        <v>2.8</v>
      </c>
      <c r="J42" s="169">
        <f t="shared" si="4"/>
        <v>0.73611111111111116</v>
      </c>
      <c r="K42" s="169">
        <f t="shared" si="4"/>
        <v>0.33333333333333331</v>
      </c>
      <c r="L42" s="170"/>
      <c r="M42" s="169">
        <f>AVERAGE(M6:M41)</f>
        <v>2.2083333333333335</v>
      </c>
    </row>
    <row r="43" spans="2:16" ht="19.5" customHeight="1" x14ac:dyDescent="0.2">
      <c r="C43" s="168" t="s">
        <v>91</v>
      </c>
      <c r="D43" s="171" t="str">
        <f t="shared" ref="D43:M43" si="5">IF(D42="","",IF(D42&gt;=4.5,"A+",IF(D42&gt;=4,"A",IF(D42&gt;=3,"B",IF(D42&gt;2.3,"C",IF(D42&gt;=2,"C-",IF(D42&gt;=1,"D",IF(D42&gt;0,"E"))))))))</f>
        <v>D</v>
      </c>
      <c r="E43" s="171" t="str">
        <f t="shared" si="5"/>
        <v>D</v>
      </c>
      <c r="F43" s="171" t="str">
        <f t="shared" si="5"/>
        <v>B</v>
      </c>
      <c r="G43" s="171" t="str">
        <f t="shared" si="5"/>
        <v>D</v>
      </c>
      <c r="H43" s="171" t="str">
        <f t="shared" si="5"/>
        <v>D</v>
      </c>
      <c r="I43" s="171" t="str">
        <f t="shared" si="5"/>
        <v>C</v>
      </c>
      <c r="J43" s="171" t="str">
        <f t="shared" si="5"/>
        <v>E</v>
      </c>
      <c r="K43" s="171" t="str">
        <f t="shared" si="5"/>
        <v>E</v>
      </c>
      <c r="L43" s="172" t="str">
        <f t="shared" si="5"/>
        <v/>
      </c>
      <c r="M43" s="171" t="str">
        <f t="shared" si="5"/>
        <v>C-</v>
      </c>
    </row>
    <row r="44" spans="2:16" x14ac:dyDescent="0.2">
      <c r="C44" s="11">
        <f>BEGINBLAD!$B$42</f>
        <v>3</v>
      </c>
    </row>
  </sheetData>
  <sheetProtection algorithmName="SHA-512" hashValue="5jptYgCYcy8eGUTvFFmrxBmoLxnefamSXUDOvBWTZvW4IjKi9XDjYMmdiJP4cOVIZtGtQxBhumadG/tDPjUNJA==" saltValue="/G8tfNVNukkqBAuQdpag+w==" spinCount="100000" sheet="1"/>
  <mergeCells count="5">
    <mergeCell ref="B2:C2"/>
    <mergeCell ref="E2:F2"/>
    <mergeCell ref="M2:N2"/>
    <mergeCell ref="G2:H2"/>
    <mergeCell ref="I2:L2"/>
  </mergeCells>
  <phoneticPr fontId="3" type="noConversion"/>
  <conditionalFormatting sqref="C6:C41">
    <cfRule type="expression" dxfId="1077" priority="1" stopIfTrue="1">
      <formula>$N6=""</formula>
    </cfRule>
    <cfRule type="expression" dxfId="1076" priority="2" stopIfTrue="1">
      <formula>$N6="A+"</formula>
    </cfRule>
  </conditionalFormatting>
  <conditionalFormatting sqref="N6:N41 D43:M43">
    <cfRule type="cellIs" dxfId="1075" priority="3" stopIfTrue="1" operator="between">
      <formula>"D"</formula>
      <formula>"E"</formula>
    </cfRule>
    <cfRule type="cellIs" dxfId="1074" priority="4" stopIfTrue="1" operator="between">
      <formula>"B"</formula>
      <formula>"B+"</formula>
    </cfRule>
    <cfRule type="cellIs" dxfId="1073" priority="5" stopIfTrue="1" operator="between">
      <formula>"A"</formula>
      <formula>"A+"</formula>
    </cfRule>
  </conditionalFormatting>
  <conditionalFormatting sqref="D6:I41">
    <cfRule type="cellIs" dxfId="1072" priority="6" stopIfTrue="1" operator="between">
      <formula>0.1</formula>
      <formula>1.9</formula>
    </cfRule>
    <cfRule type="cellIs" dxfId="1071" priority="7" stopIfTrue="1" operator="between">
      <formula>3</formula>
      <formula>3.9</formula>
    </cfRule>
    <cfRule type="cellIs" dxfId="1070" priority="8" stopIfTrue="1" operator="between">
      <formula>4</formula>
      <formula>5</formula>
    </cfRule>
  </conditionalFormatting>
  <conditionalFormatting sqref="M6:M41 D42:M42">
    <cfRule type="cellIs" dxfId="1069" priority="9" stopIfTrue="1" operator="between">
      <formula>0.001</formula>
      <formula>1.999</formula>
    </cfRule>
    <cfRule type="cellIs" dxfId="1068" priority="10" stopIfTrue="1" operator="between">
      <formula>3</formula>
      <formula>3.999</formula>
    </cfRule>
    <cfRule type="cellIs" dxfId="1067"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P44"/>
  <sheetViews>
    <sheetView showGridLines="0" showRowColHeaders="0" zoomScale="85" zoomScaleNormal="85" workbookViewId="0">
      <selection activeCell="X23" sqref="X23"/>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7</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t="str">
        <f>BEGINBLAD!B6</f>
        <v>leerling 1</v>
      </c>
      <c r="D6" s="152">
        <v>2.9</v>
      </c>
      <c r="E6" s="153">
        <v>1.8</v>
      </c>
      <c r="F6" s="153">
        <v>2.4</v>
      </c>
      <c r="G6" s="153">
        <v>0.9</v>
      </c>
      <c r="H6" s="153">
        <v>2.7</v>
      </c>
      <c r="I6" s="162">
        <v>4.0999999999999996</v>
      </c>
      <c r="J6" s="43">
        <f t="shared" ref="J6:J41" si="0">SUM(D6:I6)</f>
        <v>14.799999999999999</v>
      </c>
      <c r="K6" s="166">
        <f t="shared" ref="K6:K41" si="1">COUNTA(D6:I6)</f>
        <v>6</v>
      </c>
      <c r="L6" s="165"/>
      <c r="M6" s="156">
        <f t="shared" ref="M6:M41" si="2">IF(K6=0,"",IF(K6&gt;0,J6/K6))</f>
        <v>2.4666666666666663</v>
      </c>
      <c r="N6" s="157" t="str">
        <f t="shared" ref="N6:N41" si="3">IF(M6="","",IF(M6&gt;=4.5,"A+",IF(M6&gt;=4,"A",IF(M6&gt;=3,"B",IF(M6&gt;2.3,"C",IF(M6&gt;=2,"C-",IF(M6&gt;=1,"D",IF(M6&gt;0,"E"))))))))</f>
        <v>C</v>
      </c>
      <c r="O6" s="24"/>
      <c r="P6" s="20"/>
    </row>
    <row r="7" spans="2:16" ht="19.5" customHeight="1" x14ac:dyDescent="0.2">
      <c r="B7" s="39">
        <v>2</v>
      </c>
      <c r="C7" s="27" t="str">
        <f>BEGINBLAD!B7</f>
        <v>leerling 2</v>
      </c>
      <c r="D7" s="297">
        <v>2.4</v>
      </c>
      <c r="E7" s="299">
        <v>1.9</v>
      </c>
      <c r="F7" s="299">
        <v>3</v>
      </c>
      <c r="G7" s="299">
        <v>3.4</v>
      </c>
      <c r="H7" s="299">
        <v>3.2</v>
      </c>
      <c r="I7" s="162">
        <v>2.7</v>
      </c>
      <c r="J7" s="43">
        <f t="shared" si="0"/>
        <v>16.599999999999998</v>
      </c>
      <c r="K7" s="166">
        <f t="shared" si="1"/>
        <v>6</v>
      </c>
      <c r="L7" s="165"/>
      <c r="M7" s="156">
        <f t="shared" si="2"/>
        <v>2.7666666666666662</v>
      </c>
      <c r="N7" s="157" t="str">
        <f t="shared" si="3"/>
        <v>C</v>
      </c>
      <c r="O7" s="19"/>
      <c r="P7" s="20"/>
    </row>
    <row r="8" spans="2:16" s="10" customFormat="1" ht="19.5" customHeight="1" x14ac:dyDescent="0.2">
      <c r="B8" s="39">
        <v>3</v>
      </c>
      <c r="C8" s="27" t="str">
        <f>BEGINBLAD!B8</f>
        <v>leerling 3</v>
      </c>
      <c r="D8" s="152"/>
      <c r="E8" s="153"/>
      <c r="F8" s="153"/>
      <c r="G8" s="153"/>
      <c r="H8" s="153"/>
      <c r="I8" s="162"/>
      <c r="J8" s="43">
        <f t="shared" si="0"/>
        <v>0</v>
      </c>
      <c r="K8" s="166">
        <f t="shared" si="1"/>
        <v>0</v>
      </c>
      <c r="L8" s="165"/>
      <c r="M8" s="156" t="str">
        <f t="shared" si="2"/>
        <v/>
      </c>
      <c r="N8" s="157" t="str">
        <f t="shared" si="3"/>
        <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f t="shared" ref="D42:K42" si="4">AVERAGE(D6:D41)</f>
        <v>2.65</v>
      </c>
      <c r="E42" s="169">
        <f t="shared" si="4"/>
        <v>1.85</v>
      </c>
      <c r="F42" s="169">
        <f t="shared" si="4"/>
        <v>2.7</v>
      </c>
      <c r="G42" s="169">
        <f t="shared" si="4"/>
        <v>2.15</v>
      </c>
      <c r="H42" s="169">
        <f t="shared" si="4"/>
        <v>2.95</v>
      </c>
      <c r="I42" s="169">
        <f t="shared" si="4"/>
        <v>3.4</v>
      </c>
      <c r="J42" s="169">
        <f t="shared" si="4"/>
        <v>0.87222222222222223</v>
      </c>
      <c r="K42" s="169">
        <f t="shared" si="4"/>
        <v>0.33333333333333331</v>
      </c>
      <c r="L42" s="170"/>
      <c r="M42" s="169">
        <f>AVERAGE(M6:M41)</f>
        <v>2.6166666666666663</v>
      </c>
    </row>
    <row r="43" spans="2:16" ht="19.5" customHeight="1" x14ac:dyDescent="0.2">
      <c r="C43" s="168" t="s">
        <v>91</v>
      </c>
      <c r="D43" s="171" t="str">
        <f t="shared" ref="D43:M43" si="5">IF(D42="","",IF(D42&gt;=4.5,"A+",IF(D42&gt;=4,"A",IF(D42&gt;=3,"B",IF(D42&gt;2.3,"C",IF(D42&gt;=2,"C-",IF(D42&gt;=1,"D",IF(D42&gt;0,"E"))))))))</f>
        <v>C</v>
      </c>
      <c r="E43" s="171" t="str">
        <f t="shared" si="5"/>
        <v>D</v>
      </c>
      <c r="F43" s="171" t="str">
        <f t="shared" si="5"/>
        <v>C</v>
      </c>
      <c r="G43" s="171" t="str">
        <f t="shared" si="5"/>
        <v>C-</v>
      </c>
      <c r="H43" s="171" t="str">
        <f t="shared" si="5"/>
        <v>C</v>
      </c>
      <c r="I43" s="171" t="str">
        <f t="shared" si="5"/>
        <v>B</v>
      </c>
      <c r="J43" s="171" t="str">
        <f t="shared" si="5"/>
        <v>E</v>
      </c>
      <c r="K43" s="171" t="str">
        <f t="shared" si="5"/>
        <v>E</v>
      </c>
      <c r="L43" s="172" t="str">
        <f t="shared" si="5"/>
        <v/>
      </c>
      <c r="M43" s="171" t="str">
        <f t="shared" si="5"/>
        <v>C</v>
      </c>
    </row>
    <row r="44" spans="2:16" x14ac:dyDescent="0.2">
      <c r="C44" s="11">
        <f>BEGINBLAD!$B$42</f>
        <v>3</v>
      </c>
    </row>
  </sheetData>
  <sheetProtection algorithmName="SHA-512" hashValue="ZOT9hduZKjDuqZ3qaH6c9AkGI/BMzQli9sm9ZUSWhmjZsQHb8x+4vyAFa2bsW+OOLjOIb18RIl8mRJztavCaTw==" saltValue="veD/DUFf6/F2kYX96QKqNw==" spinCount="100000" sheet="1"/>
  <mergeCells count="5">
    <mergeCell ref="B2:C2"/>
    <mergeCell ref="E2:F2"/>
    <mergeCell ref="M2:N2"/>
    <mergeCell ref="G2:H2"/>
    <mergeCell ref="I2:L2"/>
  </mergeCells>
  <phoneticPr fontId="3" type="noConversion"/>
  <conditionalFormatting sqref="C6:C41">
    <cfRule type="expression" dxfId="370" priority="7" stopIfTrue="1">
      <formula>$N6=""</formula>
    </cfRule>
    <cfRule type="expression" dxfId="369" priority="8" stopIfTrue="1">
      <formula>$N6="A+"</formula>
    </cfRule>
  </conditionalFormatting>
  <conditionalFormatting sqref="N6:N41 D43:M43">
    <cfRule type="cellIs" dxfId="368" priority="9" stopIfTrue="1" operator="between">
      <formula>"D"</formula>
      <formula>"E"</formula>
    </cfRule>
    <cfRule type="cellIs" dxfId="367" priority="10" stopIfTrue="1" operator="between">
      <formula>"B"</formula>
      <formula>"B+"</formula>
    </cfRule>
    <cfRule type="cellIs" dxfId="366" priority="11" stopIfTrue="1" operator="between">
      <formula>"A"</formula>
      <formula>"A+"</formula>
    </cfRule>
  </conditionalFormatting>
  <conditionalFormatting sqref="D6:I6 D8:I41">
    <cfRule type="cellIs" dxfId="365" priority="12" stopIfTrue="1" operator="between">
      <formula>0.1</formula>
      <formula>1.9</formula>
    </cfRule>
    <cfRule type="cellIs" dxfId="364" priority="13" stopIfTrue="1" operator="between">
      <formula>3</formula>
      <formula>3.9</formula>
    </cfRule>
    <cfRule type="cellIs" dxfId="363" priority="14" stopIfTrue="1" operator="between">
      <formula>4</formula>
      <formula>5</formula>
    </cfRule>
  </conditionalFormatting>
  <conditionalFormatting sqref="M6:M41 D42:M42">
    <cfRule type="cellIs" dxfId="362" priority="15" stopIfTrue="1" operator="between">
      <formula>0.001</formula>
      <formula>1.999</formula>
    </cfRule>
    <cfRule type="cellIs" dxfId="361" priority="16" stopIfTrue="1" operator="between">
      <formula>3</formula>
      <formula>3.999</formula>
    </cfRule>
    <cfRule type="cellIs" dxfId="360" priority="17" stopIfTrue="1" operator="between">
      <formula>4</formula>
      <formula>5</formula>
    </cfRule>
  </conditionalFormatting>
  <conditionalFormatting sqref="D7:G7 I7">
    <cfRule type="cellIs" dxfId="359" priority="4" stopIfTrue="1" operator="between">
      <formula>0.1</formula>
      <formula>1.9</formula>
    </cfRule>
    <cfRule type="cellIs" dxfId="358" priority="5" stopIfTrue="1" operator="between">
      <formula>3</formula>
      <formula>3.9</formula>
    </cfRule>
    <cfRule type="cellIs" dxfId="357" priority="6" stopIfTrue="1" operator="between">
      <formula>4</formula>
      <formula>5</formula>
    </cfRule>
  </conditionalFormatting>
  <conditionalFormatting sqref="H7">
    <cfRule type="cellIs" dxfId="356" priority="1" stopIfTrue="1" operator="between">
      <formula>0.1</formula>
      <formula>1.9</formula>
    </cfRule>
    <cfRule type="cellIs" dxfId="355" priority="2" stopIfTrue="1" operator="between">
      <formula>3</formula>
      <formula>3.9</formula>
    </cfRule>
    <cfRule type="cellIs" dxfId="354" priority="3"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1"/>
  </sheetPr>
  <dimension ref="A1:BG72"/>
  <sheetViews>
    <sheetView showGridLines="0" showRowColHeaders="0" zoomScale="85" zoomScaleNormal="85" workbookViewId="0">
      <selection activeCell="L17" sqref="L17"/>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29">
        <f>'NW - M7'!$D$2</f>
        <v>7</v>
      </c>
      <c r="K1" s="331"/>
      <c r="L1" s="244"/>
      <c r="M1" s="32"/>
      <c r="N1" s="323" t="s">
        <v>23</v>
      </c>
      <c r="O1" s="323"/>
      <c r="P1" s="214"/>
      <c r="Q1" s="214"/>
      <c r="U1" s="5" t="b">
        <f>IF($J$1=3,"ja",IF($J$1="3A","ja",IF($J$1="3B","ja",IF($J$1="3C","ja"))))</f>
        <v>0</v>
      </c>
      <c r="X1" s="5" t="b">
        <f>IF($J$1=4,"ja",IF($J$1="4A","ja",IF($J$1="4B","ja",IF($J$1="4C","ja"))))</f>
        <v>0</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0"/>
      <c r="K2" s="322"/>
      <c r="L2" s="245"/>
      <c r="M2" s="32"/>
      <c r="N2" s="324" t="s">
        <v>30</v>
      </c>
      <c r="O2" s="324"/>
      <c r="P2" s="215"/>
      <c r="Q2" s="215"/>
      <c r="R2" s="3"/>
      <c r="S2" s="3"/>
      <c r="T2" s="3"/>
      <c r="U2" s="5" t="str">
        <f>IF($J$1=7,"ja",IF($J$1="7A","ja",IF($J$1="7B","ja",IF($J$1="7C","ja"))))</f>
        <v>ja</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25"/>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7"/>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4" t="s">
        <v>35</v>
      </c>
      <c r="P9" s="345"/>
      <c r="Q9" s="345"/>
      <c r="R9" s="345"/>
      <c r="S9" s="345"/>
      <c r="T9" s="345"/>
      <c r="U9" s="345"/>
      <c r="V9" s="345"/>
      <c r="W9" s="346"/>
      <c r="X9" s="344" t="s">
        <v>36</v>
      </c>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199"/>
      <c r="AW9" s="328" t="s">
        <v>113</v>
      </c>
      <c r="AX9" s="328"/>
      <c r="AY9" s="328"/>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t="str">
        <f>BEGINBLAD!B6</f>
        <v>leerling 1</v>
      </c>
      <c r="C17" s="110" t="str">
        <f>IF('RIO - E6'!C17="","",IF('RIO - E6'!C17&gt;"",'RIO - E6'!C17))</f>
        <v>C</v>
      </c>
      <c r="D17" s="149" t="str">
        <f>IF('NW - M7'!N6="","",IF('NW - M7'!N6="A+","A",IF('NW - M7'!N6="A","A",IF('NW - M7'!N6="B","B",IF('NW - M7'!N6="C","C",IF('NW - M7'!N6="C-","C",IF('NW - M7'!N6="D","D",IF('NW - M7'!N6="E","E"))))))))</f>
        <v>C</v>
      </c>
      <c r="E17" s="110"/>
      <c r="F17" s="192">
        <f t="shared" ref="F17:F52" si="0">IF(C17="","",IF(C17="A",5,IF(C17="B",4,IF(C17="C",3,IF(C17="D",2,IF(C17="E",1))))))</f>
        <v>3</v>
      </c>
      <c r="G17" s="192">
        <f t="shared" ref="G17:G52" si="1">IF(D17="","",IF(D17="A",5,IF(D17="B",4,IF(D17="C",3,IF(D17="D",2,IF(D17="E",1))))))</f>
        <v>3</v>
      </c>
      <c r="H17" s="191" t="str">
        <f t="shared" ref="H17:H52" si="2">IF(E17="","",IF(E17="A",5,IF(E17="B",4,IF(E17="C",3,IF(E17="D",2,IF(E17="E",1))))))</f>
        <v/>
      </c>
      <c r="I17" s="193">
        <f t="shared" ref="I17:I52" si="3">IF(F17="",H17,IF(H17="",F17,IF(F17&gt;H17,F17,IF(F17&lt;H17,H17,IF(F17=H17,F17)))))</f>
        <v>3</v>
      </c>
      <c r="J17" s="208" t="str">
        <f t="shared" ref="J17:J52" si="4">IF(I17="","",IF(I17=5,"A",IF(I17=4,"B",IF(I17=3,"C",IF(I17=2,"D",IF(I17=1,"E"))))))</f>
        <v>C</v>
      </c>
      <c r="K17" s="210">
        <f t="shared" ref="K17:K52" si="5">IF(I17="","",IF(I17=5,4,IF(I17=4,3.2,IF(I17=3,2.4,IF(I17=2,1.6,IF(I17=1,0.8))))))</f>
        <v>2.4</v>
      </c>
      <c r="L17" s="188"/>
      <c r="M17" s="104"/>
      <c r="N17" s="105"/>
      <c r="O17" s="250" t="str">
        <f t="shared" ref="O17:O52" si="6">IF(P17=0,0,IF(P17&gt;=4,"A",IF(P17&gt;=3,"B",IF(P17&gt;2.3,"C",IF(P17&gt;=1,"D",IF(P17&gt;0,"E"))))))</f>
        <v>C</v>
      </c>
      <c r="P17" s="249">
        <f>IF('NW - M7'!D6=0,0,IF('NW - M7'!D6&gt;=0,'NW - M7'!D6))</f>
        <v>2.9</v>
      </c>
      <c r="Q17" s="206">
        <f t="shared" ref="Q17:Q52" si="7">IF(K17="","",IF(P17=0,"",IF(P17&gt;0,P17/K17)))</f>
        <v>1.2083333333333333</v>
      </c>
      <c r="R17" s="250" t="str">
        <f t="shared" ref="R17:R52" si="8">IF(S17=0,0,IF(S17&gt;=4,"A",IF(S17&gt;=3,"B",IF(S17&gt;2.3,"C",IF(S17&gt;=1,"D",IF(S17&gt;0,"E"))))))</f>
        <v>C</v>
      </c>
      <c r="S17" s="249">
        <f>IF('NW - M7'!F6=0,0,IF('NW - M7'!F6&gt;=0,'NW - M7'!F6))</f>
        <v>2.4</v>
      </c>
      <c r="T17" s="206">
        <f t="shared" ref="T17:T52" si="9">IF(K17="","",IF(S17=0,"",IF(S17&gt;0,S17/K17)))</f>
        <v>1</v>
      </c>
      <c r="U17" s="250" t="str">
        <f t="shared" ref="U17:U52" si="10">IF(V17=0,0,IF(V17&gt;=4,"A",IF(V17&gt;=3,"B",IF(V17&gt;2.3,"C",IF(V17&gt;=1,"D",IF(V17&gt;0,"E"))))))</f>
        <v>D</v>
      </c>
      <c r="V17" s="249">
        <f>IF('NW - M7'!E6=0,0,IF('NW - M7'!E6&gt;=0,'NW - M7'!E6))</f>
        <v>1.8</v>
      </c>
      <c r="W17" s="206">
        <f t="shared" ref="W17:W52" si="11">IF(K17="","",IF(V17=0,"",IF(V17&gt;0,V17/K17)))</f>
        <v>0.75</v>
      </c>
      <c r="X17" s="250" t="str">
        <f t="shared" ref="X17:X52" si="12">IF(Y17=0,0,IF(Y17&gt;=4,"A",IF(Y17&gt;=3,"B",IF(Y17&gt;2.3,"C",IF(Y17&gt;=1,"D",IF(Y17&gt;0,"E"))))))</f>
        <v>A</v>
      </c>
      <c r="Y17" s="249">
        <f>IF('NW - M7'!I6=0,0,IF('NW - M7'!I6&gt;=0,'NW - M7'!I6))</f>
        <v>4.0999999999999996</v>
      </c>
      <c r="Z17" s="206">
        <f t="shared" ref="Z17:Z52" si="13">IF(K17="","",IF(Y17=0,"",IF(Y17&gt;0,Y17/K17)))</f>
        <v>1.7083333333333333</v>
      </c>
      <c r="AA17" s="250" t="str">
        <f t="shared" ref="AA17:AA52" si="14">IF(AB17=0,0,IF(AB17&gt;=4,"A",IF(AB17&gt;=3,"B",IF(AB17&gt;2.3,"C",IF(AB17&gt;=1,"D",IF(AB17&gt;0,"E"))))))</f>
        <v>C</v>
      </c>
      <c r="AB17" s="249">
        <f>IF('NW - M7'!H6=0,0,IF('NW - M7'!H6&gt;=0,'NW - M7'!H6))</f>
        <v>2.7</v>
      </c>
      <c r="AC17" s="206">
        <f t="shared" ref="AC17:AC52" si="15">IF(K17="","",IF(AB17=0,"",IF(AB17&gt;0,AB17/K17)))</f>
        <v>1.1250000000000002</v>
      </c>
      <c r="AD17" s="1">
        <f>IF($J17="","",IF(O17=0,"",IF(Q17&lt;0.8,"",IF(Q17&gt;=0.8,1))))</f>
        <v>1</v>
      </c>
      <c r="AE17" s="1">
        <f t="shared" ref="AE17:AE52" si="16">IF($J17="","",IF(R17=0,"",IF(T17&lt;0.8,"",IF(T17&gt;=0.8,1))))</f>
        <v>1</v>
      </c>
      <c r="AF17" s="1" t="str">
        <f t="shared" ref="AF17:AF52" si="17">IF($J17="","",IF(U17=0,"",IF(W17&lt;0.8,"",IF(W17&gt;=0.8,1))))</f>
        <v/>
      </c>
      <c r="AG17" s="1">
        <f t="shared" ref="AG17:AG52" si="18">IF($J17="","",IF(X17=0,"",IF(Z17&lt;0.8,"",IF(Z17&gt;=0.8,1))))</f>
        <v>1</v>
      </c>
      <c r="AH17" s="1">
        <f t="shared" ref="AH17:AH52" si="19">IF($J17="","",IF(AA17=0,"",IF(AC17&lt;0.8,"",IF(AC17&gt;=0.8,1))))</f>
        <v>1</v>
      </c>
      <c r="AI17" s="1">
        <f t="shared" ref="AI17:AI52" si="20">SUM(AD17:AH17)</f>
        <v>4</v>
      </c>
      <c r="AJ17" s="106" t="b">
        <f t="shared" ref="AJ17:AJ52" si="21">IF($J17="A",$AV17)</f>
        <v>0</v>
      </c>
      <c r="AK17" s="106" t="b">
        <f t="shared" ref="AK17:AK52" si="22">IF($J17="B",$AV17)</f>
        <v>0</v>
      </c>
      <c r="AL17" s="106">
        <f t="shared" ref="AL17:AL52" si="23">IF($J17="C",$AV17)</f>
        <v>0.8</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f>IF(J17="","",IF(J17&gt;0,COUNT(O17+R17+U17+X17+AA17)))</f>
        <v>0</v>
      </c>
      <c r="AU17" s="198">
        <f t="shared" ref="AU17:AU52" si="30">5-AT17</f>
        <v>5</v>
      </c>
      <c r="AV17" s="204">
        <f t="shared" ref="AV17:AV52" si="31">IF(AT17="","",IF(AU17=0,"",IF(AU17&gt;0,AI17/AU17)))</f>
        <v>0.8</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t="str">
        <f>BEGINBLAD!B7</f>
        <v>leerling 2</v>
      </c>
      <c r="C18" s="110" t="s">
        <v>2</v>
      </c>
      <c r="D18" s="149" t="str">
        <f>IF('NW - M7'!N7="","",IF('NW - M7'!N7="A+","A",IF('NW - M7'!N7="A","A",IF('NW - M7'!N7="B","B",IF('NW - M7'!N7="C","C",IF('NW - M7'!N7="C-","C",IF('NW - M7'!N7="D","D",IF('NW - M7'!N7="E","E"))))))))</f>
        <v>C</v>
      </c>
      <c r="E18" s="110"/>
      <c r="F18" s="192">
        <f t="shared" si="0"/>
        <v>3</v>
      </c>
      <c r="G18" s="192">
        <f t="shared" si="1"/>
        <v>3</v>
      </c>
      <c r="H18" s="191" t="str">
        <f t="shared" si="2"/>
        <v/>
      </c>
      <c r="I18" s="193">
        <f t="shared" si="3"/>
        <v>3</v>
      </c>
      <c r="J18" s="208" t="str">
        <f t="shared" si="4"/>
        <v>C</v>
      </c>
      <c r="K18" s="210">
        <f t="shared" si="5"/>
        <v>2.4</v>
      </c>
      <c r="L18" s="189"/>
      <c r="M18" s="110"/>
      <c r="N18" s="117"/>
      <c r="O18" s="250" t="str">
        <f t="shared" si="6"/>
        <v>C</v>
      </c>
      <c r="P18" s="249">
        <f>IF('NW - M7'!D7=0,0,IF('NW - M7'!D7&gt;=0,'NW - M7'!D7))</f>
        <v>2.4</v>
      </c>
      <c r="Q18" s="206">
        <f t="shared" si="7"/>
        <v>1</v>
      </c>
      <c r="R18" s="250" t="str">
        <f t="shared" si="8"/>
        <v>B</v>
      </c>
      <c r="S18" s="249">
        <f>IF('NW - M7'!F7=0,0,IF('NW - M7'!F7&gt;=0,'NW - M7'!F7))</f>
        <v>3</v>
      </c>
      <c r="T18" s="206">
        <f t="shared" si="9"/>
        <v>1.25</v>
      </c>
      <c r="U18" s="250" t="str">
        <f t="shared" si="10"/>
        <v>D</v>
      </c>
      <c r="V18" s="249">
        <f>IF('NW - M7'!E7=0,0,IF('NW - M7'!E7&gt;=0,'NW - M7'!E7))</f>
        <v>1.9</v>
      </c>
      <c r="W18" s="206">
        <f t="shared" si="11"/>
        <v>0.79166666666666663</v>
      </c>
      <c r="X18" s="250" t="str">
        <f t="shared" si="12"/>
        <v>C</v>
      </c>
      <c r="Y18" s="249">
        <f>IF('NW - M7'!I7=0,0,IF('NW - M7'!I7&gt;=0,'NW - M7'!I7))</f>
        <v>2.7</v>
      </c>
      <c r="Z18" s="206">
        <f t="shared" si="13"/>
        <v>1.1250000000000002</v>
      </c>
      <c r="AA18" s="250" t="str">
        <f t="shared" si="14"/>
        <v>B</v>
      </c>
      <c r="AB18" s="249">
        <f>IF('NW - M7'!H7=0,0,IF('NW - M7'!H7&gt;=0,'NW - M7'!H7))</f>
        <v>3.2</v>
      </c>
      <c r="AC18" s="206">
        <f t="shared" si="15"/>
        <v>1.3333333333333335</v>
      </c>
      <c r="AD18" s="1">
        <f t="shared" ref="AD18:AD52" si="39">IF(J18="","",IF(O18=0,"",IF(Q18&lt;0.8,"",IF(Q18&gt;=0.8,1))))</f>
        <v>1</v>
      </c>
      <c r="AE18" s="1">
        <f t="shared" si="16"/>
        <v>1</v>
      </c>
      <c r="AF18" s="1" t="str">
        <f t="shared" si="17"/>
        <v/>
      </c>
      <c r="AG18" s="1">
        <f t="shared" si="18"/>
        <v>1</v>
      </c>
      <c r="AH18" s="1">
        <f t="shared" si="19"/>
        <v>1</v>
      </c>
      <c r="AI18" s="1">
        <f t="shared" si="20"/>
        <v>4</v>
      </c>
      <c r="AJ18" s="106" t="b">
        <f t="shared" si="21"/>
        <v>0</v>
      </c>
      <c r="AK18" s="106" t="b">
        <f t="shared" si="22"/>
        <v>0</v>
      </c>
      <c r="AL18" s="106">
        <f t="shared" si="23"/>
        <v>0.8</v>
      </c>
      <c r="AM18" s="106" t="b">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f t="shared" ref="AT18:AT52" si="41">IF(J18="","",IF(J18&gt;0,COUNT(O18+R18+U18+X18+AA18)))</f>
        <v>0</v>
      </c>
      <c r="AU18" s="198">
        <f t="shared" si="30"/>
        <v>5</v>
      </c>
      <c r="AV18" s="204">
        <f t="shared" si="31"/>
        <v>0.8</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t="str">
        <f>BEGINBLAD!B8</f>
        <v>leerling 3</v>
      </c>
      <c r="C19" s="110" t="str">
        <f>IF('RIO - E6'!C19="","",IF('RIO - E6'!C19&gt;"",'RIO - E6'!C19))</f>
        <v>C</v>
      </c>
      <c r="D19" s="149" t="str">
        <f>IF('NW - M7'!N8="","",IF('NW - M7'!N8="A+","A",IF('NW - M7'!N8="A","A",IF('NW - M7'!N8="B","B",IF('NW - M7'!N8="C","C",IF('NW - M7'!N8="C-","C",IF('NW - M7'!N8="D","D",IF('NW - M7'!N8="E","E"))))))))</f>
        <v/>
      </c>
      <c r="E19" s="110"/>
      <c r="F19" s="192">
        <f t="shared" si="0"/>
        <v>3</v>
      </c>
      <c r="G19" s="192" t="str">
        <f t="shared" si="1"/>
        <v/>
      </c>
      <c r="H19" s="191" t="str">
        <f t="shared" si="2"/>
        <v/>
      </c>
      <c r="I19" s="193">
        <f t="shared" si="3"/>
        <v>3</v>
      </c>
      <c r="J19" s="208" t="str">
        <f t="shared" si="4"/>
        <v>C</v>
      </c>
      <c r="K19" s="210">
        <f t="shared" si="5"/>
        <v>2.4</v>
      </c>
      <c r="L19" s="189"/>
      <c r="M19" s="110"/>
      <c r="N19" s="117"/>
      <c r="O19" s="250">
        <f t="shared" si="6"/>
        <v>0</v>
      </c>
      <c r="P19" s="249">
        <f>IF('NW - M7'!D8=0,0,IF('NW - M7'!D8&gt;=0,'NW - M7'!D8))</f>
        <v>0</v>
      </c>
      <c r="Q19" s="206" t="str">
        <f t="shared" si="7"/>
        <v/>
      </c>
      <c r="R19" s="250">
        <f t="shared" si="8"/>
        <v>0</v>
      </c>
      <c r="S19" s="249">
        <f>IF('NW - M7'!F8=0,0,IF('NW - M7'!F8&gt;=0,'NW - M7'!F8))</f>
        <v>0</v>
      </c>
      <c r="T19" s="206" t="str">
        <f t="shared" si="9"/>
        <v/>
      </c>
      <c r="U19" s="250">
        <f t="shared" si="10"/>
        <v>0</v>
      </c>
      <c r="V19" s="249">
        <f>IF('NW - M7'!E8=0,0,IF('NW - M7'!E8&gt;=0,'NW - M7'!E8))</f>
        <v>0</v>
      </c>
      <c r="W19" s="206" t="str">
        <f t="shared" si="11"/>
        <v/>
      </c>
      <c r="X19" s="250">
        <f t="shared" si="12"/>
        <v>0</v>
      </c>
      <c r="Y19" s="249">
        <f>IF('NW - M7'!I8=0,0,IF('NW - M7'!I8&gt;=0,'NW - M7'!I8))</f>
        <v>0</v>
      </c>
      <c r="Z19" s="206" t="str">
        <f t="shared" si="13"/>
        <v/>
      </c>
      <c r="AA19" s="250">
        <f t="shared" si="14"/>
        <v>0</v>
      </c>
      <c r="AB19" s="249">
        <f>IF('NW - M7'!H8=0,0,IF('NW - M7'!H8&gt;=0,'NW - M7'!H8))</f>
        <v>0</v>
      </c>
      <c r="AC19" s="206" t="str">
        <f t="shared" si="15"/>
        <v/>
      </c>
      <c r="AD19" s="1" t="str">
        <f t="shared" si="39"/>
        <v/>
      </c>
      <c r="AE19" s="1" t="str">
        <f t="shared" si="16"/>
        <v/>
      </c>
      <c r="AF19" s="1" t="str">
        <f t="shared" si="17"/>
        <v/>
      </c>
      <c r="AG19" s="1" t="str">
        <f t="shared" si="18"/>
        <v/>
      </c>
      <c r="AH19" s="1" t="str">
        <f t="shared" si="19"/>
        <v/>
      </c>
      <c r="AI19" s="1">
        <f t="shared" si="20"/>
        <v>0</v>
      </c>
      <c r="AJ19" s="106" t="b">
        <f t="shared" si="21"/>
        <v>0</v>
      </c>
      <c r="AK19" s="106" t="b">
        <f t="shared" si="22"/>
        <v>0</v>
      </c>
      <c r="AL19" s="106">
        <f t="shared" si="23"/>
        <v>0</v>
      </c>
      <c r="AM19" s="106" t="b">
        <f t="shared" si="24"/>
        <v>0</v>
      </c>
      <c r="AN19" s="106" t="b">
        <f t="shared" si="25"/>
        <v>0</v>
      </c>
      <c r="AO19" s="106" t="b">
        <f t="shared" si="40"/>
        <v>0</v>
      </c>
      <c r="AP19" s="106" t="b">
        <f t="shared" si="26"/>
        <v>0</v>
      </c>
      <c r="AQ19" s="106" t="b">
        <f t="shared" si="27"/>
        <v>0</v>
      </c>
      <c r="AR19" s="106" t="b">
        <f t="shared" si="28"/>
        <v>0</v>
      </c>
      <c r="AS19" s="106" t="b">
        <f t="shared" si="29"/>
        <v>0</v>
      </c>
      <c r="AT19" s="148">
        <f t="shared" si="41"/>
        <v>1</v>
      </c>
      <c r="AU19" s="198">
        <f t="shared" si="30"/>
        <v>4</v>
      </c>
      <c r="AV19" s="204">
        <f t="shared" si="31"/>
        <v>0</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E6'!C20="","",IF('RIO - E6'!C20&gt;"",'RIO - E6'!C20))</f>
        <v/>
      </c>
      <c r="D20" s="149" t="str">
        <f>IF('NW - M7'!N9="","",IF('NW - M7'!N9="A+","A",IF('NW - M7'!N9="A","A",IF('NW - M7'!N9="B","B",IF('NW - M7'!N9="C","C",IF('NW - M7'!N9="C-","C",IF('NW - M7'!N9="D","D",IF('NW - M7'!N9="E","E"))))))))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M7'!D9=0,0,IF('NW - M7'!D9&gt;=0,'NW - M7'!D9))</f>
        <v>0</v>
      </c>
      <c r="Q20" s="206" t="str">
        <f t="shared" si="7"/>
        <v/>
      </c>
      <c r="R20" s="250">
        <f t="shared" si="8"/>
        <v>0</v>
      </c>
      <c r="S20" s="249">
        <f>IF('NW - M7'!F9=0,0,IF('NW - M7'!F9&gt;=0,'NW - M7'!F9))</f>
        <v>0</v>
      </c>
      <c r="T20" s="206" t="str">
        <f t="shared" si="9"/>
        <v/>
      </c>
      <c r="U20" s="250">
        <f t="shared" si="10"/>
        <v>0</v>
      </c>
      <c r="V20" s="249">
        <f>IF('NW - M7'!E9=0,0,IF('NW - M7'!E9&gt;=0,'NW - M7'!E9))</f>
        <v>0</v>
      </c>
      <c r="W20" s="206" t="str">
        <f t="shared" si="11"/>
        <v/>
      </c>
      <c r="X20" s="250">
        <f t="shared" si="12"/>
        <v>0</v>
      </c>
      <c r="Y20" s="249">
        <f>IF('NW - M7'!I9=0,0,IF('NW - M7'!I9&gt;=0,'NW - M7'!I9))</f>
        <v>0</v>
      </c>
      <c r="Z20" s="206" t="str">
        <f t="shared" si="13"/>
        <v/>
      </c>
      <c r="AA20" s="250">
        <f t="shared" si="14"/>
        <v>0</v>
      </c>
      <c r="AB20" s="249">
        <f>IF('NW - M7'!H9=0,0,IF('NW - M7'!H9&gt;=0,'NW - M7'!H9))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E6'!C21="","",IF('RIO - E6'!C21&gt;"",'RIO - E6'!C21))</f>
        <v/>
      </c>
      <c r="D21" s="149" t="str">
        <f>IF('NW - M7'!N10="","",IF('NW - M7'!N10="A+","A",IF('NW - M7'!N10="A","A",IF('NW - M7'!N10="B","B",IF('NW - M7'!N10="C","C",IF('NW - M7'!N10="C-","C",IF('NW - M7'!N10="D","D",IF('NW - M7'!N10="E","E"))))))))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M7'!D10=0,0,IF('NW - M7'!D10&gt;=0,'NW - M7'!D10))</f>
        <v>0</v>
      </c>
      <c r="Q21" s="206" t="str">
        <f t="shared" si="7"/>
        <v/>
      </c>
      <c r="R21" s="250">
        <f t="shared" si="8"/>
        <v>0</v>
      </c>
      <c r="S21" s="249">
        <f>IF('NW - M7'!F10=0,0,IF('NW - M7'!F10&gt;=0,'NW - M7'!F10))</f>
        <v>0</v>
      </c>
      <c r="T21" s="206" t="str">
        <f t="shared" si="9"/>
        <v/>
      </c>
      <c r="U21" s="250">
        <f t="shared" si="10"/>
        <v>0</v>
      </c>
      <c r="V21" s="249">
        <f>IF('NW - M7'!E10=0,0,IF('NW - M7'!E10&gt;=0,'NW - M7'!E10))</f>
        <v>0</v>
      </c>
      <c r="W21" s="206" t="str">
        <f t="shared" si="11"/>
        <v/>
      </c>
      <c r="X21" s="250">
        <f t="shared" si="12"/>
        <v>0</v>
      </c>
      <c r="Y21" s="249">
        <f>IF('NW - M7'!I10=0,0,IF('NW - M7'!I10&gt;=0,'NW - M7'!I10))</f>
        <v>0</v>
      </c>
      <c r="Z21" s="206" t="str">
        <f t="shared" si="13"/>
        <v/>
      </c>
      <c r="AA21" s="250">
        <f t="shared" si="14"/>
        <v>0</v>
      </c>
      <c r="AB21" s="249">
        <f>IF('NW - M7'!H10=0,0,IF('NW - M7'!H10&gt;=0,'NW - M7'!H10))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E6'!C22="","",IF('RIO - E6'!C22&gt;"",'RIO - E6'!C22))</f>
        <v/>
      </c>
      <c r="D22" s="149" t="str">
        <f>IF('NW - M7'!N11="","",IF('NW - M7'!N11="A+","A",IF('NW - M7'!N11="A","A",IF('NW - M7'!N11="B","B",IF('NW - M7'!N11="C","C",IF('NW - M7'!N11="C-","C",IF('NW - M7'!N11="D","D",IF('NW - M7'!N11="E","E"))))))))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M7'!D11=0,0,IF('NW - M7'!D11&gt;=0,'NW - M7'!D11))</f>
        <v>0</v>
      </c>
      <c r="Q22" s="206" t="str">
        <f t="shared" si="7"/>
        <v/>
      </c>
      <c r="R22" s="250">
        <f t="shared" si="8"/>
        <v>0</v>
      </c>
      <c r="S22" s="249">
        <f>IF('NW - M7'!F11=0,0,IF('NW - M7'!F11&gt;=0,'NW - M7'!F11))</f>
        <v>0</v>
      </c>
      <c r="T22" s="206" t="str">
        <f t="shared" si="9"/>
        <v/>
      </c>
      <c r="U22" s="250">
        <f t="shared" si="10"/>
        <v>0</v>
      </c>
      <c r="V22" s="249">
        <f>IF('NW - M7'!E11=0,0,IF('NW - M7'!E11&gt;=0,'NW - M7'!E11))</f>
        <v>0</v>
      </c>
      <c r="W22" s="206" t="str">
        <f t="shared" si="11"/>
        <v/>
      </c>
      <c r="X22" s="250">
        <f t="shared" si="12"/>
        <v>0</v>
      </c>
      <c r="Y22" s="249">
        <f>IF('NW - M7'!I11=0,0,IF('NW - M7'!I11&gt;=0,'NW - M7'!I11))</f>
        <v>0</v>
      </c>
      <c r="Z22" s="206" t="str">
        <f t="shared" si="13"/>
        <v/>
      </c>
      <c r="AA22" s="250">
        <f t="shared" si="14"/>
        <v>0</v>
      </c>
      <c r="AB22" s="249">
        <f>IF('NW - M7'!H11=0,0,IF('NW - M7'!H11&gt;=0,'NW - M7'!H11))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E6'!C23="","",IF('RIO - E6'!C23&gt;"",'RIO - E6'!C23))</f>
        <v/>
      </c>
      <c r="D23" s="149" t="str">
        <f>IF('NW - M7'!N12="","",IF('NW - M7'!N12="A+","A",IF('NW - M7'!N12="A","A",IF('NW - M7'!N12="B","B",IF('NW - M7'!N12="C","C",IF('NW - M7'!N12="C-","C",IF('NW - M7'!N12="D","D",IF('NW - M7'!N12="E","E"))))))))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M7'!D12=0,0,IF('NW - M7'!D12&gt;=0,'NW - M7'!D12))</f>
        <v>0</v>
      </c>
      <c r="Q23" s="206" t="str">
        <f t="shared" si="7"/>
        <v/>
      </c>
      <c r="R23" s="250">
        <f t="shared" si="8"/>
        <v>0</v>
      </c>
      <c r="S23" s="249">
        <f>IF('NW - M7'!F12=0,0,IF('NW - M7'!F12&gt;=0,'NW - M7'!F12))</f>
        <v>0</v>
      </c>
      <c r="T23" s="206" t="str">
        <f t="shared" si="9"/>
        <v/>
      </c>
      <c r="U23" s="250">
        <f t="shared" si="10"/>
        <v>0</v>
      </c>
      <c r="V23" s="249">
        <f>IF('NW - M7'!E12=0,0,IF('NW - M7'!E12&gt;=0,'NW - M7'!E12))</f>
        <v>0</v>
      </c>
      <c r="W23" s="206" t="str">
        <f t="shared" si="11"/>
        <v/>
      </c>
      <c r="X23" s="250">
        <f t="shared" si="12"/>
        <v>0</v>
      </c>
      <c r="Y23" s="249">
        <f>IF('NW - M7'!I12=0,0,IF('NW - M7'!I12&gt;=0,'NW - M7'!I12))</f>
        <v>0</v>
      </c>
      <c r="Z23" s="206" t="str">
        <f t="shared" si="13"/>
        <v/>
      </c>
      <c r="AA23" s="250">
        <f t="shared" si="14"/>
        <v>0</v>
      </c>
      <c r="AB23" s="249">
        <f>IF('NW - M7'!H12=0,0,IF('NW - M7'!H12&gt;=0,'NW - M7'!H12))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E6'!C24="","",IF('RIO - E6'!C24&gt;"",'RIO - E6'!C24))</f>
        <v/>
      </c>
      <c r="D24" s="149" t="str">
        <f>IF('NW - M7'!N13="","",IF('NW - M7'!N13="A+","A",IF('NW - M7'!N13="A","A",IF('NW - M7'!N13="B","B",IF('NW - M7'!N13="C","C",IF('NW - M7'!N13="C-","C",IF('NW - M7'!N13="D","D",IF('NW - M7'!N13="E","E"))))))))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M7'!D13=0,0,IF('NW - M7'!D13&gt;=0,'NW - M7'!D13))</f>
        <v>0</v>
      </c>
      <c r="Q24" s="206" t="str">
        <f t="shared" si="7"/>
        <v/>
      </c>
      <c r="R24" s="250">
        <f t="shared" si="8"/>
        <v>0</v>
      </c>
      <c r="S24" s="249">
        <f>IF('NW - M7'!F13=0,0,IF('NW - M7'!F13&gt;=0,'NW - M7'!F13))</f>
        <v>0</v>
      </c>
      <c r="T24" s="206" t="str">
        <f t="shared" si="9"/>
        <v/>
      </c>
      <c r="U24" s="250">
        <f t="shared" si="10"/>
        <v>0</v>
      </c>
      <c r="V24" s="249">
        <f>IF('NW - M7'!E13=0,0,IF('NW - M7'!E13&gt;=0,'NW - M7'!E13))</f>
        <v>0</v>
      </c>
      <c r="W24" s="206" t="str">
        <f t="shared" si="11"/>
        <v/>
      </c>
      <c r="X24" s="250">
        <f t="shared" si="12"/>
        <v>0</v>
      </c>
      <c r="Y24" s="249">
        <f>IF('NW - M7'!I13=0,0,IF('NW - M7'!I13&gt;=0,'NW - M7'!I13))</f>
        <v>0</v>
      </c>
      <c r="Z24" s="206" t="str">
        <f t="shared" si="13"/>
        <v/>
      </c>
      <c r="AA24" s="250">
        <f t="shared" si="14"/>
        <v>0</v>
      </c>
      <c r="AB24" s="249">
        <f>IF('NW - M7'!H13=0,0,IF('NW - M7'!H13&gt;=0,'NW - M7'!H13))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E6'!C25="","",IF('RIO - E6'!C25&gt;"",'RIO - E6'!C25))</f>
        <v/>
      </c>
      <c r="D25" s="149" t="str">
        <f>IF('NW - M7'!N14="","",IF('NW - M7'!N14="A+","A",IF('NW - M7'!N14="A","A",IF('NW - M7'!N14="B","B",IF('NW - M7'!N14="C","C",IF('NW - M7'!N14="C-","C",IF('NW - M7'!N14="D","D",IF('NW - M7'!N14="E","E"))))))))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M7'!D14=0,0,IF('NW - M7'!D14&gt;=0,'NW - M7'!D14))</f>
        <v>0</v>
      </c>
      <c r="Q25" s="206" t="str">
        <f t="shared" si="7"/>
        <v/>
      </c>
      <c r="R25" s="250">
        <f t="shared" si="8"/>
        <v>0</v>
      </c>
      <c r="S25" s="249">
        <f>IF('NW - M7'!F14=0,0,IF('NW - M7'!F14&gt;=0,'NW - M7'!F14))</f>
        <v>0</v>
      </c>
      <c r="T25" s="206" t="str">
        <f t="shared" si="9"/>
        <v/>
      </c>
      <c r="U25" s="250">
        <f t="shared" si="10"/>
        <v>0</v>
      </c>
      <c r="V25" s="249">
        <f>IF('NW - M7'!E14=0,0,IF('NW - M7'!E14&gt;=0,'NW - M7'!E14))</f>
        <v>0</v>
      </c>
      <c r="W25" s="206" t="str">
        <f t="shared" si="11"/>
        <v/>
      </c>
      <c r="X25" s="250">
        <f t="shared" si="12"/>
        <v>0</v>
      </c>
      <c r="Y25" s="249">
        <f>IF('NW - M7'!I14=0,0,IF('NW - M7'!I14&gt;=0,'NW - M7'!I14))</f>
        <v>0</v>
      </c>
      <c r="Z25" s="206" t="str">
        <f t="shared" si="13"/>
        <v/>
      </c>
      <c r="AA25" s="250">
        <f t="shared" si="14"/>
        <v>0</v>
      </c>
      <c r="AB25" s="249">
        <f>IF('NW - M7'!H14=0,0,IF('NW - M7'!H14&gt;=0,'NW - M7'!H14))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E6'!C26="","",IF('RIO - E6'!C26&gt;"",'RIO - E6'!C26))</f>
        <v/>
      </c>
      <c r="D26" s="149" t="str">
        <f>IF('NW - M7'!N15="","",IF('NW - M7'!N15="A+","A",IF('NW - M7'!N15="A","A",IF('NW - M7'!N15="B","B",IF('NW - M7'!N15="C","C",IF('NW - M7'!N15="C-","C",IF('NW - M7'!N15="D","D",IF('NW - M7'!N15="E","E"))))))))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M7'!D15=0,0,IF('NW - M7'!D15&gt;=0,'NW - M7'!D15))</f>
        <v>0</v>
      </c>
      <c r="Q26" s="206" t="str">
        <f t="shared" si="7"/>
        <v/>
      </c>
      <c r="R26" s="250">
        <f t="shared" si="8"/>
        <v>0</v>
      </c>
      <c r="S26" s="249">
        <f>IF('NW - M7'!F15=0,0,IF('NW - M7'!F15&gt;=0,'NW - M7'!F15))</f>
        <v>0</v>
      </c>
      <c r="T26" s="206" t="str">
        <f t="shared" si="9"/>
        <v/>
      </c>
      <c r="U26" s="250">
        <f t="shared" si="10"/>
        <v>0</v>
      </c>
      <c r="V26" s="249">
        <f>IF('NW - M7'!E15=0,0,IF('NW - M7'!E15&gt;=0,'NW - M7'!E15))</f>
        <v>0</v>
      </c>
      <c r="W26" s="206" t="str">
        <f t="shared" si="11"/>
        <v/>
      </c>
      <c r="X26" s="250">
        <f t="shared" si="12"/>
        <v>0</v>
      </c>
      <c r="Y26" s="249">
        <f>IF('NW - M7'!I15=0,0,IF('NW - M7'!I15&gt;=0,'NW - M7'!I15))</f>
        <v>0</v>
      </c>
      <c r="Z26" s="206" t="str">
        <f t="shared" si="13"/>
        <v/>
      </c>
      <c r="AA26" s="250">
        <f t="shared" si="14"/>
        <v>0</v>
      </c>
      <c r="AB26" s="249">
        <f>IF('NW - M7'!H15=0,0,IF('NW - M7'!H15&gt;=0,'NW - M7'!H15))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E6'!C27="","",IF('RIO - E6'!C27&gt;"",'RIO - E6'!C27))</f>
        <v/>
      </c>
      <c r="D27" s="149" t="str">
        <f>IF('NW - M7'!N16="","",IF('NW - M7'!N16="A+","A",IF('NW - M7'!N16="A","A",IF('NW - M7'!N16="B","B",IF('NW - M7'!N16="C","C",IF('NW - M7'!N16="C-","C",IF('NW - M7'!N16="D","D",IF('NW - M7'!N16="E","E"))))))))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M7'!D16=0,0,IF('NW - M7'!D16&gt;=0,'NW - M7'!D16))</f>
        <v>0</v>
      </c>
      <c r="Q27" s="206" t="str">
        <f t="shared" si="7"/>
        <v/>
      </c>
      <c r="R27" s="250">
        <f t="shared" si="8"/>
        <v>0</v>
      </c>
      <c r="S27" s="249">
        <f>IF('NW - M7'!F16=0,0,IF('NW - M7'!F16&gt;=0,'NW - M7'!F16))</f>
        <v>0</v>
      </c>
      <c r="T27" s="206" t="str">
        <f t="shared" si="9"/>
        <v/>
      </c>
      <c r="U27" s="250">
        <f t="shared" si="10"/>
        <v>0</v>
      </c>
      <c r="V27" s="249">
        <f>IF('NW - M7'!E16=0,0,IF('NW - M7'!E16&gt;=0,'NW - M7'!E16))</f>
        <v>0</v>
      </c>
      <c r="W27" s="206" t="str">
        <f t="shared" si="11"/>
        <v/>
      </c>
      <c r="X27" s="250">
        <f t="shared" si="12"/>
        <v>0</v>
      </c>
      <c r="Y27" s="249">
        <f>IF('NW - M7'!I16=0,0,IF('NW - M7'!I16&gt;=0,'NW - M7'!I16))</f>
        <v>0</v>
      </c>
      <c r="Z27" s="206" t="str">
        <f t="shared" si="13"/>
        <v/>
      </c>
      <c r="AA27" s="250">
        <f t="shared" si="14"/>
        <v>0</v>
      </c>
      <c r="AB27" s="249">
        <f>IF('NW - M7'!H16=0,0,IF('NW - M7'!H16&gt;=0,'NW - M7'!H16))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E6'!C28="","",IF('RIO - E6'!C28&gt;"",'RIO - E6'!C28))</f>
        <v/>
      </c>
      <c r="D28" s="149" t="str">
        <f>IF('NW - M7'!N17="","",IF('NW - M7'!N17="A+","A",IF('NW - M7'!N17="A","A",IF('NW - M7'!N17="B","B",IF('NW - M7'!N17="C","C",IF('NW - M7'!N17="C-","C",IF('NW - M7'!N17="D","D",IF('NW - M7'!N17="E","E"))))))))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M7'!D17=0,0,IF('NW - M7'!D17&gt;=0,'NW - M7'!D17))</f>
        <v>0</v>
      </c>
      <c r="Q28" s="206" t="str">
        <f t="shared" si="7"/>
        <v/>
      </c>
      <c r="R28" s="250">
        <f t="shared" si="8"/>
        <v>0</v>
      </c>
      <c r="S28" s="249">
        <f>IF('NW - M7'!F17=0,0,IF('NW - M7'!F17&gt;=0,'NW - M7'!F17))</f>
        <v>0</v>
      </c>
      <c r="T28" s="206" t="str">
        <f t="shared" si="9"/>
        <v/>
      </c>
      <c r="U28" s="250">
        <f t="shared" si="10"/>
        <v>0</v>
      </c>
      <c r="V28" s="249">
        <f>IF('NW - M7'!E17=0,0,IF('NW - M7'!E17&gt;=0,'NW - M7'!E17))</f>
        <v>0</v>
      </c>
      <c r="W28" s="206" t="str">
        <f t="shared" si="11"/>
        <v/>
      </c>
      <c r="X28" s="250">
        <f t="shared" si="12"/>
        <v>0</v>
      </c>
      <c r="Y28" s="249">
        <f>IF('NW - M7'!I17=0,0,IF('NW - M7'!I17&gt;=0,'NW - M7'!I17))</f>
        <v>0</v>
      </c>
      <c r="Z28" s="206" t="str">
        <f t="shared" si="13"/>
        <v/>
      </c>
      <c r="AA28" s="250">
        <f t="shared" si="14"/>
        <v>0</v>
      </c>
      <c r="AB28" s="249">
        <f>IF('NW - M7'!H17=0,0,IF('NW - M7'!H17&gt;=0,'NW - M7'!H17))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E6'!C29="","",IF('RIO - E6'!C29&gt;"",'RIO - E6'!C29))</f>
        <v/>
      </c>
      <c r="D29" s="149" t="str">
        <f>IF('NW - M7'!N18="","",IF('NW - M7'!N18="A+","A",IF('NW - M7'!N18="A","A",IF('NW - M7'!N18="B","B",IF('NW - M7'!N18="C","C",IF('NW - M7'!N18="C-","C",IF('NW - M7'!N18="D","D",IF('NW - M7'!N18="E","E"))))))))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M7'!D18=0,0,IF('NW - M7'!D18&gt;=0,'NW - M7'!D18))</f>
        <v>0</v>
      </c>
      <c r="Q29" s="206" t="str">
        <f t="shared" si="7"/>
        <v/>
      </c>
      <c r="R29" s="250">
        <f t="shared" si="8"/>
        <v>0</v>
      </c>
      <c r="S29" s="249">
        <f>IF('NW - M7'!F18=0,0,IF('NW - M7'!F18&gt;=0,'NW - M7'!F18))</f>
        <v>0</v>
      </c>
      <c r="T29" s="206" t="str">
        <f t="shared" si="9"/>
        <v/>
      </c>
      <c r="U29" s="250">
        <f t="shared" si="10"/>
        <v>0</v>
      </c>
      <c r="V29" s="249">
        <f>IF('NW - M7'!E18=0,0,IF('NW - M7'!E18&gt;=0,'NW - M7'!E18))</f>
        <v>0</v>
      </c>
      <c r="W29" s="206" t="str">
        <f t="shared" si="11"/>
        <v/>
      </c>
      <c r="X29" s="250">
        <f t="shared" si="12"/>
        <v>0</v>
      </c>
      <c r="Y29" s="249">
        <f>IF('NW - M7'!I18=0,0,IF('NW - M7'!I18&gt;=0,'NW - M7'!I18))</f>
        <v>0</v>
      </c>
      <c r="Z29" s="206" t="str">
        <f t="shared" si="13"/>
        <v/>
      </c>
      <c r="AA29" s="250">
        <f t="shared" si="14"/>
        <v>0</v>
      </c>
      <c r="AB29" s="249">
        <f>IF('NW - M7'!H18=0,0,IF('NW - M7'!H18&gt;=0,'NW - M7'!H18))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E6'!C30="","",IF('RIO - E6'!C30&gt;"",'RIO - E6'!C30))</f>
        <v/>
      </c>
      <c r="D30" s="149" t="str">
        <f>IF('NW - M7'!N19="","",IF('NW - M7'!N19="A+","A",IF('NW - M7'!N19="A","A",IF('NW - M7'!N19="B","B",IF('NW - M7'!N19="C","C",IF('NW - M7'!N19="C-","C",IF('NW - M7'!N19="D","D",IF('NW - M7'!N19="E","E"))))))))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M7'!D19=0,0,IF('NW - M7'!D19&gt;=0,'NW - M7'!D19))</f>
        <v>0</v>
      </c>
      <c r="Q30" s="206" t="str">
        <f t="shared" si="7"/>
        <v/>
      </c>
      <c r="R30" s="250">
        <f t="shared" si="8"/>
        <v>0</v>
      </c>
      <c r="S30" s="249">
        <f>IF('NW - M7'!F19=0,0,IF('NW - M7'!F19&gt;=0,'NW - M7'!F19))</f>
        <v>0</v>
      </c>
      <c r="T30" s="206" t="str">
        <f t="shared" si="9"/>
        <v/>
      </c>
      <c r="U30" s="250">
        <f t="shared" si="10"/>
        <v>0</v>
      </c>
      <c r="V30" s="249">
        <f>IF('NW - M7'!E19=0,0,IF('NW - M7'!E19&gt;=0,'NW - M7'!E19))</f>
        <v>0</v>
      </c>
      <c r="W30" s="206" t="str">
        <f t="shared" si="11"/>
        <v/>
      </c>
      <c r="X30" s="250">
        <f t="shared" si="12"/>
        <v>0</v>
      </c>
      <c r="Y30" s="249">
        <f>IF('NW - M7'!I19=0,0,IF('NW - M7'!I19&gt;=0,'NW - M7'!I19))</f>
        <v>0</v>
      </c>
      <c r="Z30" s="206" t="str">
        <f t="shared" si="13"/>
        <v/>
      </c>
      <c r="AA30" s="250">
        <f t="shared" si="14"/>
        <v>0</v>
      </c>
      <c r="AB30" s="249">
        <f>IF('NW - M7'!H19=0,0,IF('NW - M7'!H19&gt;=0,'NW - M7'!H19))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E6'!C31="","",IF('RIO - E6'!C31&gt;"",'RIO - E6'!C31))</f>
        <v/>
      </c>
      <c r="D31" s="149" t="str">
        <f>IF('NW - M7'!N20="","",IF('NW - M7'!N20="A+","A",IF('NW - M7'!N20="A","A",IF('NW - M7'!N20="B","B",IF('NW - M7'!N20="C","C",IF('NW - M7'!N20="C-","C",IF('NW - M7'!N20="D","D",IF('NW - M7'!N20="E","E"))))))))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M7'!D20=0,0,IF('NW - M7'!D20&gt;=0,'NW - M7'!D20))</f>
        <v>0</v>
      </c>
      <c r="Q31" s="206" t="str">
        <f t="shared" si="7"/>
        <v/>
      </c>
      <c r="R31" s="250">
        <f t="shared" si="8"/>
        <v>0</v>
      </c>
      <c r="S31" s="249">
        <f>IF('NW - M7'!F20=0,0,IF('NW - M7'!F20&gt;=0,'NW - M7'!F20))</f>
        <v>0</v>
      </c>
      <c r="T31" s="206" t="str">
        <f t="shared" si="9"/>
        <v/>
      </c>
      <c r="U31" s="250">
        <f t="shared" si="10"/>
        <v>0</v>
      </c>
      <c r="V31" s="249">
        <f>IF('NW - M7'!E20=0,0,IF('NW - M7'!E20&gt;=0,'NW - M7'!E20))</f>
        <v>0</v>
      </c>
      <c r="W31" s="206" t="str">
        <f t="shared" si="11"/>
        <v/>
      </c>
      <c r="X31" s="250">
        <f t="shared" si="12"/>
        <v>0</v>
      </c>
      <c r="Y31" s="249">
        <f>IF('NW - M7'!I20=0,0,IF('NW - M7'!I20&gt;=0,'NW - M7'!I20))</f>
        <v>0</v>
      </c>
      <c r="Z31" s="206" t="str">
        <f t="shared" si="13"/>
        <v/>
      </c>
      <c r="AA31" s="250">
        <f t="shared" si="14"/>
        <v>0</v>
      </c>
      <c r="AB31" s="249">
        <f>IF('NW - M7'!H20=0,0,IF('NW - M7'!H20&gt;=0,'NW - M7'!H20))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E6'!C32="","",IF('RIO - E6'!C32&gt;"",'RIO - E6'!C32))</f>
        <v/>
      </c>
      <c r="D32" s="149" t="str">
        <f>IF('NW - M7'!N21="","",IF('NW - M7'!N21="A+","A",IF('NW - M7'!N21="A","A",IF('NW - M7'!N21="B","B",IF('NW - M7'!N21="C","C",IF('NW - M7'!N21="C-","C",IF('NW - M7'!N21="D","D",IF('NW - M7'!N21="E","E"))))))))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M7'!D21=0,0,IF('NW - M7'!D21&gt;=0,'NW - M7'!D21))</f>
        <v>0</v>
      </c>
      <c r="Q32" s="206" t="str">
        <f t="shared" si="7"/>
        <v/>
      </c>
      <c r="R32" s="250">
        <f t="shared" si="8"/>
        <v>0</v>
      </c>
      <c r="S32" s="249">
        <f>IF('NW - M7'!F21=0,0,IF('NW - M7'!F21&gt;=0,'NW - M7'!F21))</f>
        <v>0</v>
      </c>
      <c r="T32" s="206" t="str">
        <f t="shared" si="9"/>
        <v/>
      </c>
      <c r="U32" s="250">
        <f t="shared" si="10"/>
        <v>0</v>
      </c>
      <c r="V32" s="249">
        <f>IF('NW - M7'!E21=0,0,IF('NW - M7'!E21&gt;=0,'NW - M7'!E21))</f>
        <v>0</v>
      </c>
      <c r="W32" s="206" t="str">
        <f t="shared" si="11"/>
        <v/>
      </c>
      <c r="X32" s="250">
        <f t="shared" si="12"/>
        <v>0</v>
      </c>
      <c r="Y32" s="249">
        <f>IF('NW - M7'!I21=0,0,IF('NW - M7'!I21&gt;=0,'NW - M7'!I21))</f>
        <v>0</v>
      </c>
      <c r="Z32" s="206" t="str">
        <f t="shared" si="13"/>
        <v/>
      </c>
      <c r="AA32" s="250">
        <f t="shared" si="14"/>
        <v>0</v>
      </c>
      <c r="AB32" s="249">
        <f>IF('NW - M7'!H21=0,0,IF('NW - M7'!H21&gt;=0,'NW - M7'!H21))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E6'!C33="","",IF('RIO - E6'!C33&gt;"",'RIO - E6'!C33))</f>
        <v/>
      </c>
      <c r="D33" s="149" t="str">
        <f>IF('NW - M7'!N22="","",IF('NW - M7'!N22="A+","A",IF('NW - M7'!N22="A","A",IF('NW - M7'!N22="B","B",IF('NW - M7'!N22="C","C",IF('NW - M7'!N22="C-","C",IF('NW - M7'!N22="D","D",IF('NW - M7'!N22="E","E"))))))))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M7'!D22=0,0,IF('NW - M7'!D22&gt;=0,'NW - M7'!D22))</f>
        <v>0</v>
      </c>
      <c r="Q33" s="206" t="str">
        <f t="shared" si="7"/>
        <v/>
      </c>
      <c r="R33" s="250">
        <f t="shared" si="8"/>
        <v>0</v>
      </c>
      <c r="S33" s="249">
        <f>IF('NW - M7'!F22=0,0,IF('NW - M7'!F22&gt;=0,'NW - M7'!F22))</f>
        <v>0</v>
      </c>
      <c r="T33" s="206" t="str">
        <f t="shared" si="9"/>
        <v/>
      </c>
      <c r="U33" s="250">
        <f t="shared" si="10"/>
        <v>0</v>
      </c>
      <c r="V33" s="249">
        <f>IF('NW - M7'!E22=0,0,IF('NW - M7'!E22&gt;=0,'NW - M7'!E22))</f>
        <v>0</v>
      </c>
      <c r="W33" s="206" t="str">
        <f t="shared" si="11"/>
        <v/>
      </c>
      <c r="X33" s="250">
        <f t="shared" si="12"/>
        <v>0</v>
      </c>
      <c r="Y33" s="249">
        <f>IF('NW - M7'!I22=0,0,IF('NW - M7'!I22&gt;=0,'NW - M7'!I22))</f>
        <v>0</v>
      </c>
      <c r="Z33" s="206" t="str">
        <f t="shared" si="13"/>
        <v/>
      </c>
      <c r="AA33" s="250">
        <f t="shared" si="14"/>
        <v>0</v>
      </c>
      <c r="AB33" s="249">
        <f>IF('NW - M7'!H22=0,0,IF('NW - M7'!H22&gt;=0,'NW - M7'!H22))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E6'!C34="","",IF('RIO - E6'!C34&gt;"",'RIO - E6'!C34))</f>
        <v/>
      </c>
      <c r="D34" s="149" t="str">
        <f>IF('NW - M7'!N23="","",IF('NW - M7'!N23="A+","A",IF('NW - M7'!N23="A","A",IF('NW - M7'!N23="B","B",IF('NW - M7'!N23="C","C",IF('NW - M7'!N23="C-","C",IF('NW - M7'!N23="D","D",IF('NW - M7'!N23="E","E"))))))))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M7'!D23=0,0,IF('NW - M7'!D23&gt;=0,'NW - M7'!D23))</f>
        <v>0</v>
      </c>
      <c r="Q34" s="206" t="str">
        <f t="shared" si="7"/>
        <v/>
      </c>
      <c r="R34" s="250">
        <f t="shared" si="8"/>
        <v>0</v>
      </c>
      <c r="S34" s="249">
        <f>IF('NW - M7'!F23=0,0,IF('NW - M7'!F23&gt;=0,'NW - M7'!F23))</f>
        <v>0</v>
      </c>
      <c r="T34" s="206" t="str">
        <f t="shared" si="9"/>
        <v/>
      </c>
      <c r="U34" s="250">
        <f t="shared" si="10"/>
        <v>0</v>
      </c>
      <c r="V34" s="249">
        <f>IF('NW - M7'!E23=0,0,IF('NW - M7'!E23&gt;=0,'NW - M7'!E23))</f>
        <v>0</v>
      </c>
      <c r="W34" s="206" t="str">
        <f t="shared" si="11"/>
        <v/>
      </c>
      <c r="X34" s="250">
        <f t="shared" si="12"/>
        <v>0</v>
      </c>
      <c r="Y34" s="249">
        <f>IF('NW - M7'!I23=0,0,IF('NW - M7'!I23&gt;=0,'NW - M7'!I23))</f>
        <v>0</v>
      </c>
      <c r="Z34" s="206" t="str">
        <f t="shared" si="13"/>
        <v/>
      </c>
      <c r="AA34" s="250">
        <f t="shared" si="14"/>
        <v>0</v>
      </c>
      <c r="AB34" s="249">
        <f>IF('NW - M7'!H23=0,0,IF('NW - M7'!H23&gt;=0,'NW - M7'!H23))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E6'!C35="","",IF('RIO - E6'!C35&gt;"",'RIO - E6'!C35))</f>
        <v/>
      </c>
      <c r="D35" s="149" t="str">
        <f>IF('NW - M7'!N24="","",IF('NW - M7'!N24="A+","A",IF('NW - M7'!N24="A","A",IF('NW - M7'!N24="B","B",IF('NW - M7'!N24="C","C",IF('NW - M7'!N24="C-","C",IF('NW - M7'!N24="D","D",IF('NW - M7'!N24="E","E"))))))))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M7'!D24=0,0,IF('NW - M7'!D24&gt;=0,'NW - M7'!D24))</f>
        <v>0</v>
      </c>
      <c r="Q35" s="206" t="str">
        <f t="shared" si="7"/>
        <v/>
      </c>
      <c r="R35" s="250">
        <f t="shared" si="8"/>
        <v>0</v>
      </c>
      <c r="S35" s="249">
        <f>IF('NW - M7'!F24=0,0,IF('NW - M7'!F24&gt;=0,'NW - M7'!F24))</f>
        <v>0</v>
      </c>
      <c r="T35" s="206" t="str">
        <f t="shared" si="9"/>
        <v/>
      </c>
      <c r="U35" s="250">
        <f t="shared" si="10"/>
        <v>0</v>
      </c>
      <c r="V35" s="249">
        <f>IF('NW - M7'!E24=0,0,IF('NW - M7'!E24&gt;=0,'NW - M7'!E24))</f>
        <v>0</v>
      </c>
      <c r="W35" s="206" t="str">
        <f t="shared" si="11"/>
        <v/>
      </c>
      <c r="X35" s="250">
        <f t="shared" si="12"/>
        <v>0</v>
      </c>
      <c r="Y35" s="249">
        <f>IF('NW - M7'!I24=0,0,IF('NW - M7'!I24&gt;=0,'NW - M7'!I24))</f>
        <v>0</v>
      </c>
      <c r="Z35" s="206" t="str">
        <f t="shared" si="13"/>
        <v/>
      </c>
      <c r="AA35" s="250">
        <f t="shared" si="14"/>
        <v>0</v>
      </c>
      <c r="AB35" s="249">
        <f>IF('NW - M7'!H24=0,0,IF('NW - M7'!H24&gt;=0,'NW - M7'!H24))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E6'!C36="","",IF('RIO - E6'!C36&gt;"",'RIO - E6'!C36))</f>
        <v/>
      </c>
      <c r="D36" s="149" t="str">
        <f>IF('NW - M7'!N25="","",IF('NW - M7'!N25="A+","A",IF('NW - M7'!N25="A","A",IF('NW - M7'!N25="B","B",IF('NW - M7'!N25="C","C",IF('NW - M7'!N25="C-","C",IF('NW - M7'!N25="D","D",IF('NW - M7'!N25="E","E"))))))))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M7'!D25=0,0,IF('NW - M7'!D25&gt;=0,'NW - M7'!D25))</f>
        <v>0</v>
      </c>
      <c r="Q36" s="206" t="str">
        <f t="shared" si="7"/>
        <v/>
      </c>
      <c r="R36" s="250">
        <f t="shared" si="8"/>
        <v>0</v>
      </c>
      <c r="S36" s="249">
        <f>IF('NW - M7'!F25=0,0,IF('NW - M7'!F25&gt;=0,'NW - M7'!F25))</f>
        <v>0</v>
      </c>
      <c r="T36" s="206" t="str">
        <f t="shared" si="9"/>
        <v/>
      </c>
      <c r="U36" s="250">
        <f t="shared" si="10"/>
        <v>0</v>
      </c>
      <c r="V36" s="249">
        <f>IF('NW - M7'!E25=0,0,IF('NW - M7'!E25&gt;=0,'NW - M7'!E25))</f>
        <v>0</v>
      </c>
      <c r="W36" s="206" t="str">
        <f t="shared" si="11"/>
        <v/>
      </c>
      <c r="X36" s="250">
        <f t="shared" si="12"/>
        <v>0</v>
      </c>
      <c r="Y36" s="249">
        <f>IF('NW - M7'!I25=0,0,IF('NW - M7'!I25&gt;=0,'NW - M7'!I25))</f>
        <v>0</v>
      </c>
      <c r="Z36" s="206" t="str">
        <f t="shared" si="13"/>
        <v/>
      </c>
      <c r="AA36" s="250">
        <f t="shared" si="14"/>
        <v>0</v>
      </c>
      <c r="AB36" s="249">
        <f>IF('NW - M7'!H25=0,0,IF('NW - M7'!H25&gt;=0,'NW - M7'!H25))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E6'!C37="","",IF('RIO - E6'!C37&gt;"",'RIO - E6'!C37))</f>
        <v/>
      </c>
      <c r="D37" s="149" t="str">
        <f>IF('NW - M7'!N26="","",IF('NW - M7'!N26="A+","A",IF('NW - M7'!N26="A","A",IF('NW - M7'!N26="B","B",IF('NW - M7'!N26="C","C",IF('NW - M7'!N26="C-","C",IF('NW - M7'!N26="D","D",IF('NW - M7'!N26="E","E"))))))))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M7'!D26=0,0,IF('NW - M7'!D26&gt;=0,'NW - M7'!D26))</f>
        <v>0</v>
      </c>
      <c r="Q37" s="206" t="str">
        <f t="shared" si="7"/>
        <v/>
      </c>
      <c r="R37" s="250">
        <f t="shared" si="8"/>
        <v>0</v>
      </c>
      <c r="S37" s="249">
        <f>IF('NW - M7'!F26=0,0,IF('NW - M7'!F26&gt;=0,'NW - M7'!F26))</f>
        <v>0</v>
      </c>
      <c r="T37" s="206" t="str">
        <f t="shared" si="9"/>
        <v/>
      </c>
      <c r="U37" s="250">
        <f t="shared" si="10"/>
        <v>0</v>
      </c>
      <c r="V37" s="249">
        <f>IF('NW - M7'!E26=0,0,IF('NW - M7'!E26&gt;=0,'NW - M7'!E26))</f>
        <v>0</v>
      </c>
      <c r="W37" s="206" t="str">
        <f t="shared" si="11"/>
        <v/>
      </c>
      <c r="X37" s="250">
        <f t="shared" si="12"/>
        <v>0</v>
      </c>
      <c r="Y37" s="249">
        <f>IF('NW - M7'!I26=0,0,IF('NW - M7'!I26&gt;=0,'NW - M7'!I26))</f>
        <v>0</v>
      </c>
      <c r="Z37" s="206" t="str">
        <f t="shared" si="13"/>
        <v/>
      </c>
      <c r="AA37" s="250">
        <f t="shared" si="14"/>
        <v>0</v>
      </c>
      <c r="AB37" s="249">
        <f>IF('NW - M7'!H26=0,0,IF('NW - M7'!H26&gt;=0,'NW - M7'!H26))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E6'!C38="","",IF('RIO - E6'!C38&gt;"",'RIO - E6'!C38))</f>
        <v/>
      </c>
      <c r="D38" s="149" t="str">
        <f>IF('NW - M7'!N27="","",IF('NW - M7'!N27="A+","A",IF('NW - M7'!N27="A","A",IF('NW - M7'!N27="B","B",IF('NW - M7'!N27="C","C",IF('NW - M7'!N27="C-","C",IF('NW - M7'!N27="D","D",IF('NW - M7'!N27="E","E"))))))))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M7'!D27=0,0,IF('NW - M7'!D27&gt;=0,'NW - M7'!D27))</f>
        <v>0</v>
      </c>
      <c r="Q38" s="206" t="str">
        <f t="shared" si="7"/>
        <v/>
      </c>
      <c r="R38" s="250">
        <f t="shared" si="8"/>
        <v>0</v>
      </c>
      <c r="S38" s="249">
        <f>IF('NW - M7'!F27=0,0,IF('NW - M7'!F27&gt;=0,'NW - M7'!F27))</f>
        <v>0</v>
      </c>
      <c r="T38" s="206" t="str">
        <f t="shared" si="9"/>
        <v/>
      </c>
      <c r="U38" s="250">
        <f t="shared" si="10"/>
        <v>0</v>
      </c>
      <c r="V38" s="249">
        <f>IF('NW - M7'!E27=0,0,IF('NW - M7'!E27&gt;=0,'NW - M7'!E27))</f>
        <v>0</v>
      </c>
      <c r="W38" s="206" t="str">
        <f t="shared" si="11"/>
        <v/>
      </c>
      <c r="X38" s="250">
        <f t="shared" si="12"/>
        <v>0</v>
      </c>
      <c r="Y38" s="249">
        <f>IF('NW - M7'!I27=0,0,IF('NW - M7'!I27&gt;=0,'NW - M7'!I27))</f>
        <v>0</v>
      </c>
      <c r="Z38" s="206" t="str">
        <f t="shared" si="13"/>
        <v/>
      </c>
      <c r="AA38" s="250">
        <f t="shared" si="14"/>
        <v>0</v>
      </c>
      <c r="AB38" s="249">
        <f>IF('NW - M7'!H27=0,0,IF('NW - M7'!H27&gt;=0,'NW - M7'!H27))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E6'!C39="","",IF('RIO - E6'!C39&gt;"",'RIO - E6'!C39))</f>
        <v/>
      </c>
      <c r="D39" s="149" t="str">
        <f>IF('NW - M7'!N28="","",IF('NW - M7'!N28="A+","A",IF('NW - M7'!N28="A","A",IF('NW - M7'!N28="B","B",IF('NW - M7'!N28="C","C",IF('NW - M7'!N28="C-","C",IF('NW - M7'!N28="D","D",IF('NW - M7'!N28="E","E"))))))))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M7'!D28=0,0,IF('NW - M7'!D28&gt;=0,'NW - M7'!D28))</f>
        <v>0</v>
      </c>
      <c r="Q39" s="206" t="str">
        <f t="shared" si="7"/>
        <v/>
      </c>
      <c r="R39" s="250">
        <f t="shared" si="8"/>
        <v>0</v>
      </c>
      <c r="S39" s="249">
        <f>IF('NW - M7'!F28=0,0,IF('NW - M7'!F28&gt;=0,'NW - M7'!F28))</f>
        <v>0</v>
      </c>
      <c r="T39" s="206" t="str">
        <f t="shared" si="9"/>
        <v/>
      </c>
      <c r="U39" s="250">
        <f t="shared" si="10"/>
        <v>0</v>
      </c>
      <c r="V39" s="249">
        <f>IF('NW - M7'!E28=0,0,IF('NW - M7'!E28&gt;=0,'NW - M7'!E28))</f>
        <v>0</v>
      </c>
      <c r="W39" s="206" t="str">
        <f t="shared" si="11"/>
        <v/>
      </c>
      <c r="X39" s="250">
        <f t="shared" si="12"/>
        <v>0</v>
      </c>
      <c r="Y39" s="249">
        <f>IF('NW - M7'!I28=0,0,IF('NW - M7'!I28&gt;=0,'NW - M7'!I28))</f>
        <v>0</v>
      </c>
      <c r="Z39" s="206" t="str">
        <f t="shared" si="13"/>
        <v/>
      </c>
      <c r="AA39" s="250">
        <f t="shared" si="14"/>
        <v>0</v>
      </c>
      <c r="AB39" s="249">
        <f>IF('NW - M7'!H28=0,0,IF('NW - M7'!H28&gt;=0,'NW - M7'!H28))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E6'!C40="","",IF('RIO - E6'!C40&gt;"",'RIO - E6'!C40))</f>
        <v/>
      </c>
      <c r="D40" s="149" t="str">
        <f>IF('NW - M7'!N29="","",IF('NW - M7'!N29="A+","A",IF('NW - M7'!N29="A","A",IF('NW - M7'!N29="B","B",IF('NW - M7'!N29="C","C",IF('NW - M7'!N29="C-","C",IF('NW - M7'!N29="D","D",IF('NW - M7'!N29="E","E"))))))))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M7'!D29=0,0,IF('NW - M7'!D29&gt;=0,'NW - M7'!D29))</f>
        <v>0</v>
      </c>
      <c r="Q40" s="206" t="str">
        <f t="shared" si="7"/>
        <v/>
      </c>
      <c r="R40" s="250">
        <f t="shared" si="8"/>
        <v>0</v>
      </c>
      <c r="S40" s="249">
        <f>IF('NW - M7'!F29=0,0,IF('NW - M7'!F29&gt;=0,'NW - M7'!F29))</f>
        <v>0</v>
      </c>
      <c r="T40" s="206" t="str">
        <f t="shared" si="9"/>
        <v/>
      </c>
      <c r="U40" s="250">
        <f t="shared" si="10"/>
        <v>0</v>
      </c>
      <c r="V40" s="249">
        <f>IF('NW - M7'!E29=0,0,IF('NW - M7'!E29&gt;=0,'NW - M7'!E29))</f>
        <v>0</v>
      </c>
      <c r="W40" s="206" t="str">
        <f t="shared" si="11"/>
        <v/>
      </c>
      <c r="X40" s="250">
        <f t="shared" si="12"/>
        <v>0</v>
      </c>
      <c r="Y40" s="249">
        <f>IF('NW - M7'!I29=0,0,IF('NW - M7'!I29&gt;=0,'NW - M7'!I29))</f>
        <v>0</v>
      </c>
      <c r="Z40" s="206" t="str">
        <f t="shared" si="13"/>
        <v/>
      </c>
      <c r="AA40" s="250">
        <f t="shared" si="14"/>
        <v>0</v>
      </c>
      <c r="AB40" s="249">
        <f>IF('NW - M7'!H29=0,0,IF('NW - M7'!H29&gt;=0,'NW - M7'!H29))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E6'!C41="","",IF('RIO - E6'!C41&gt;"",'RIO - E6'!C41))</f>
        <v/>
      </c>
      <c r="D41" s="149" t="str">
        <f>IF('NW - M7'!N30="","",IF('NW - M7'!N30="A+","A",IF('NW - M7'!N30="A","A",IF('NW - M7'!N30="B","B",IF('NW - M7'!N30="C","C",IF('NW - M7'!N30="C-","C",IF('NW - M7'!N30="D","D",IF('NW - M7'!N30="E","E"))))))))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M7'!D30=0,0,IF('NW - M7'!D30&gt;=0,'NW - M7'!D30))</f>
        <v>0</v>
      </c>
      <c r="Q41" s="206" t="str">
        <f t="shared" si="7"/>
        <v/>
      </c>
      <c r="R41" s="250">
        <f t="shared" si="8"/>
        <v>0</v>
      </c>
      <c r="S41" s="249">
        <f>IF('NW - M7'!F30=0,0,IF('NW - M7'!F30&gt;=0,'NW - M7'!F30))</f>
        <v>0</v>
      </c>
      <c r="T41" s="206" t="str">
        <f t="shared" si="9"/>
        <v/>
      </c>
      <c r="U41" s="250">
        <f t="shared" si="10"/>
        <v>0</v>
      </c>
      <c r="V41" s="249">
        <f>IF('NW - M7'!E30=0,0,IF('NW - M7'!E30&gt;=0,'NW - M7'!E30))</f>
        <v>0</v>
      </c>
      <c r="W41" s="206" t="str">
        <f t="shared" si="11"/>
        <v/>
      </c>
      <c r="X41" s="250">
        <f t="shared" si="12"/>
        <v>0</v>
      </c>
      <c r="Y41" s="249">
        <f>IF('NW - M7'!I30=0,0,IF('NW - M7'!I30&gt;=0,'NW - M7'!I30))</f>
        <v>0</v>
      </c>
      <c r="Z41" s="206" t="str">
        <f t="shared" si="13"/>
        <v/>
      </c>
      <c r="AA41" s="250">
        <f t="shared" si="14"/>
        <v>0</v>
      </c>
      <c r="AB41" s="249">
        <f>IF('NW - M7'!H30=0,0,IF('NW - M7'!H30&gt;=0,'NW - M7'!H30))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E6'!C42="","",IF('RIO - E6'!C42&gt;"",'RIO - E6'!C42))</f>
        <v/>
      </c>
      <c r="D42" s="149" t="str">
        <f>IF('NW - M7'!N31="","",IF('NW - M7'!N31="A+","A",IF('NW - M7'!N31="A","A",IF('NW - M7'!N31="B","B",IF('NW - M7'!N31="C","C",IF('NW - M7'!N31="C-","C",IF('NW - M7'!N31="D","D",IF('NW - M7'!N31="E","E"))))))))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M7'!D31=0,0,IF('NW - M7'!D31&gt;=0,'NW - M7'!D31))</f>
        <v>0</v>
      </c>
      <c r="Q42" s="206" t="str">
        <f t="shared" si="7"/>
        <v/>
      </c>
      <c r="R42" s="250">
        <f t="shared" si="8"/>
        <v>0</v>
      </c>
      <c r="S42" s="249">
        <f>IF('NW - M7'!F31=0,0,IF('NW - M7'!F31&gt;=0,'NW - M7'!F31))</f>
        <v>0</v>
      </c>
      <c r="T42" s="206" t="str">
        <f t="shared" si="9"/>
        <v/>
      </c>
      <c r="U42" s="250">
        <f t="shared" si="10"/>
        <v>0</v>
      </c>
      <c r="V42" s="249">
        <f>IF('NW - M7'!E31=0,0,IF('NW - M7'!E31&gt;=0,'NW - M7'!E31))</f>
        <v>0</v>
      </c>
      <c r="W42" s="206" t="str">
        <f t="shared" si="11"/>
        <v/>
      </c>
      <c r="X42" s="250">
        <f t="shared" si="12"/>
        <v>0</v>
      </c>
      <c r="Y42" s="249">
        <f>IF('NW - M7'!I31=0,0,IF('NW - M7'!I31&gt;=0,'NW - M7'!I31))</f>
        <v>0</v>
      </c>
      <c r="Z42" s="206" t="str">
        <f t="shared" si="13"/>
        <v/>
      </c>
      <c r="AA42" s="250">
        <f t="shared" si="14"/>
        <v>0</v>
      </c>
      <c r="AB42" s="249">
        <f>IF('NW - M7'!H31=0,0,IF('NW - M7'!H31&gt;=0,'NW - M7'!H31))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E6'!C43="","",IF('RIO - E6'!C43&gt;"",'RIO - E6'!C43))</f>
        <v/>
      </c>
      <c r="D43" s="149" t="str">
        <f>IF('NW - M7'!N32="","",IF('NW - M7'!N32="A+","A",IF('NW - M7'!N32="A","A",IF('NW - M7'!N32="B","B",IF('NW - M7'!N32="C","C",IF('NW - M7'!N32="C-","C",IF('NW - M7'!N32="D","D",IF('NW - M7'!N32="E","E"))))))))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M7'!D32=0,0,IF('NW - M7'!D32&gt;=0,'NW - M7'!D32))</f>
        <v>0</v>
      </c>
      <c r="Q43" s="206" t="str">
        <f t="shared" si="7"/>
        <v/>
      </c>
      <c r="R43" s="250">
        <f t="shared" si="8"/>
        <v>0</v>
      </c>
      <c r="S43" s="249">
        <f>IF('NW - M7'!F32=0,0,IF('NW - M7'!F32&gt;=0,'NW - M7'!F32))</f>
        <v>0</v>
      </c>
      <c r="T43" s="206" t="str">
        <f t="shared" si="9"/>
        <v/>
      </c>
      <c r="U43" s="250">
        <f t="shared" si="10"/>
        <v>0</v>
      </c>
      <c r="V43" s="249">
        <f>IF('NW - M7'!E32=0,0,IF('NW - M7'!E32&gt;=0,'NW - M7'!E32))</f>
        <v>0</v>
      </c>
      <c r="W43" s="206" t="str">
        <f t="shared" si="11"/>
        <v/>
      </c>
      <c r="X43" s="250">
        <f t="shared" si="12"/>
        <v>0</v>
      </c>
      <c r="Y43" s="249">
        <f>IF('NW - M7'!I32=0,0,IF('NW - M7'!I32&gt;=0,'NW - M7'!I32))</f>
        <v>0</v>
      </c>
      <c r="Z43" s="206" t="str">
        <f t="shared" si="13"/>
        <v/>
      </c>
      <c r="AA43" s="250">
        <f t="shared" si="14"/>
        <v>0</v>
      </c>
      <c r="AB43" s="249">
        <f>IF('NW - M7'!H32=0,0,IF('NW - M7'!H32&gt;=0,'NW - M7'!H32))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E6'!C44="","",IF('RIO - E6'!C44&gt;"",'RIO - E6'!C44))</f>
        <v/>
      </c>
      <c r="D44" s="149" t="str">
        <f>IF('NW - M7'!N33="","",IF('NW - M7'!N33="A+","A",IF('NW - M7'!N33="A","A",IF('NW - M7'!N33="B","B",IF('NW - M7'!N33="C","C",IF('NW - M7'!N33="C-","C",IF('NW - M7'!N33="D","D",IF('NW - M7'!N33="E","E"))))))))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M7'!D33=0,0,IF('NW - M7'!D33&gt;=0,'NW - M7'!D33))</f>
        <v>0</v>
      </c>
      <c r="Q44" s="206" t="str">
        <f t="shared" si="7"/>
        <v/>
      </c>
      <c r="R44" s="250">
        <f t="shared" si="8"/>
        <v>0</v>
      </c>
      <c r="S44" s="249">
        <f>IF('NW - M7'!F33=0,0,IF('NW - M7'!F33&gt;=0,'NW - M7'!F33))</f>
        <v>0</v>
      </c>
      <c r="T44" s="206" t="str">
        <f t="shared" si="9"/>
        <v/>
      </c>
      <c r="U44" s="250">
        <f t="shared" si="10"/>
        <v>0</v>
      </c>
      <c r="V44" s="249">
        <f>IF('NW - M7'!E33=0,0,IF('NW - M7'!E33&gt;=0,'NW - M7'!E33))</f>
        <v>0</v>
      </c>
      <c r="W44" s="206" t="str">
        <f t="shared" si="11"/>
        <v/>
      </c>
      <c r="X44" s="250">
        <f t="shared" si="12"/>
        <v>0</v>
      </c>
      <c r="Y44" s="249">
        <f>IF('NW - M7'!I33=0,0,IF('NW - M7'!I33&gt;=0,'NW - M7'!I33))</f>
        <v>0</v>
      </c>
      <c r="Z44" s="206" t="str">
        <f t="shared" si="13"/>
        <v/>
      </c>
      <c r="AA44" s="250">
        <f t="shared" si="14"/>
        <v>0</v>
      </c>
      <c r="AB44" s="249">
        <f>IF('NW - M7'!H33=0,0,IF('NW - M7'!H33&gt;=0,'NW - M7'!H33))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t="b">
        <f>IF($J$1=5,3,IF($J$1="5A",3,IF($J$1="5B",3,IF($J$1="5C",3))))</f>
        <v>0</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E6'!C45="","",IF('RIO - E6'!C45&gt;"",'RIO - E6'!C45))</f>
        <v/>
      </c>
      <c r="D45" s="149" t="str">
        <f>IF('NW - M7'!N34="","",IF('NW - M7'!N34="A+","A",IF('NW - M7'!N34="A","A",IF('NW - M7'!N34="B","B",IF('NW - M7'!N34="C","C",IF('NW - M7'!N34="C-","C",IF('NW - M7'!N34="D","D",IF('NW - M7'!N34="E","E"))))))))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M7'!D34=0,0,IF('NW - M7'!D34&gt;=0,'NW - M7'!D34))</f>
        <v>0</v>
      </c>
      <c r="Q45" s="206" t="str">
        <f t="shared" si="7"/>
        <v/>
      </c>
      <c r="R45" s="250">
        <f t="shared" si="8"/>
        <v>0</v>
      </c>
      <c r="S45" s="249">
        <f>IF('NW - M7'!F34=0,0,IF('NW - M7'!F34&gt;=0,'NW - M7'!F34))</f>
        <v>0</v>
      </c>
      <c r="T45" s="206" t="str">
        <f t="shared" si="9"/>
        <v/>
      </c>
      <c r="U45" s="250">
        <f t="shared" si="10"/>
        <v>0</v>
      </c>
      <c r="V45" s="249">
        <f>IF('NW - M7'!E34=0,0,IF('NW - M7'!E34&gt;=0,'NW - M7'!E34))</f>
        <v>0</v>
      </c>
      <c r="W45" s="206" t="str">
        <f t="shared" si="11"/>
        <v/>
      </c>
      <c r="X45" s="250">
        <f t="shared" si="12"/>
        <v>0</v>
      </c>
      <c r="Y45" s="249">
        <f>IF('NW - M7'!I34=0,0,IF('NW - M7'!I34&gt;=0,'NW - M7'!I34))</f>
        <v>0</v>
      </c>
      <c r="Z45" s="206" t="str">
        <f t="shared" si="13"/>
        <v/>
      </c>
      <c r="AA45" s="250">
        <f t="shared" si="14"/>
        <v>0</v>
      </c>
      <c r="AB45" s="249">
        <f>IF('NW - M7'!H34=0,0,IF('NW - M7'!H34&gt;=0,'NW - M7'!H34))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t="b">
        <f>IF($J$1=6,4,IF($J$1="6A",4,IF($J$1="6B",4,IF($J$1="6C",4))))</f>
        <v>0</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E6'!C46="","",IF('RIO - E6'!C46&gt;"",'RIO - E6'!C46))</f>
        <v/>
      </c>
      <c r="D46" s="149" t="str">
        <f>IF('NW - M7'!N35="","",IF('NW - M7'!N35="A+","A",IF('NW - M7'!N35="A","A",IF('NW - M7'!N35="B","B",IF('NW - M7'!N35="C","C",IF('NW - M7'!N35="C-","C",IF('NW - M7'!N35="D","D",IF('NW - M7'!N35="E","E"))))))))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M7'!D35=0,0,IF('NW - M7'!D35&gt;=0,'NW - M7'!D35))</f>
        <v>0</v>
      </c>
      <c r="Q46" s="206" t="str">
        <f t="shared" si="7"/>
        <v/>
      </c>
      <c r="R46" s="250">
        <f t="shared" si="8"/>
        <v>0</v>
      </c>
      <c r="S46" s="249">
        <f>IF('NW - M7'!F35=0,0,IF('NW - M7'!F35&gt;=0,'NW - M7'!F35))</f>
        <v>0</v>
      </c>
      <c r="T46" s="206" t="str">
        <f t="shared" si="9"/>
        <v/>
      </c>
      <c r="U46" s="250">
        <f t="shared" si="10"/>
        <v>0</v>
      </c>
      <c r="V46" s="249">
        <f>IF('NW - M7'!E35=0,0,IF('NW - M7'!E35&gt;=0,'NW - M7'!E35))</f>
        <v>0</v>
      </c>
      <c r="W46" s="206" t="str">
        <f t="shared" si="11"/>
        <v/>
      </c>
      <c r="X46" s="250">
        <f t="shared" si="12"/>
        <v>0</v>
      </c>
      <c r="Y46" s="249">
        <f>IF('NW - M7'!I35=0,0,IF('NW - M7'!I35&gt;=0,'NW - M7'!I35))</f>
        <v>0</v>
      </c>
      <c r="Z46" s="206" t="str">
        <f t="shared" si="13"/>
        <v/>
      </c>
      <c r="AA46" s="250">
        <f t="shared" si="14"/>
        <v>0</v>
      </c>
      <c r="AB46" s="249">
        <f>IF('NW - M7'!H35=0,0,IF('NW - M7'!H35&gt;=0,'NW - M7'!H35))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f>IF($J$1=7,5,IF($J$1="7A",5,IF($J$1="7B",5,IF($J$1="7C",5))))</f>
        <v>5</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E6'!C47="","",IF('RIO - E6'!C47&gt;"",'RIO - E6'!C47))</f>
        <v/>
      </c>
      <c r="D47" s="149" t="str">
        <f>IF('NW - M7'!N36="","",IF('NW - M7'!N36="A+","A",IF('NW - M7'!N36="A","A",IF('NW - M7'!N36="B","B",IF('NW - M7'!N36="C","C",IF('NW - M7'!N36="C-","C",IF('NW - M7'!N36="D","D",IF('NW - M7'!N36="E","E"))))))))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M7'!D36=0,0,IF('NW - M7'!D36&gt;=0,'NW - M7'!D36))</f>
        <v>0</v>
      </c>
      <c r="Q47" s="206" t="str">
        <f t="shared" si="7"/>
        <v/>
      </c>
      <c r="R47" s="250">
        <f t="shared" si="8"/>
        <v>0</v>
      </c>
      <c r="S47" s="249">
        <f>IF('NW - M7'!F36=0,0,IF('NW - M7'!F36&gt;=0,'NW - M7'!F36))</f>
        <v>0</v>
      </c>
      <c r="T47" s="206" t="str">
        <f t="shared" si="9"/>
        <v/>
      </c>
      <c r="U47" s="250">
        <f t="shared" si="10"/>
        <v>0</v>
      </c>
      <c r="V47" s="249">
        <f>IF('NW - M7'!E36=0,0,IF('NW - M7'!E36&gt;=0,'NW - M7'!E36))</f>
        <v>0</v>
      </c>
      <c r="W47" s="206" t="str">
        <f t="shared" si="11"/>
        <v/>
      </c>
      <c r="X47" s="250">
        <f t="shared" si="12"/>
        <v>0</v>
      </c>
      <c r="Y47" s="249">
        <f>IF('NW - M7'!I36=0,0,IF('NW - M7'!I36&gt;=0,'NW - M7'!I36))</f>
        <v>0</v>
      </c>
      <c r="Z47" s="206" t="str">
        <f t="shared" si="13"/>
        <v/>
      </c>
      <c r="AA47" s="250">
        <f t="shared" si="14"/>
        <v>0</v>
      </c>
      <c r="AB47" s="249">
        <f>IF('NW - M7'!H36=0,0,IF('NW - M7'!H36&gt;=0,'NW - M7'!H36))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E6'!C48="","",IF('RIO - E6'!C48&gt;"",'RIO - E6'!C48))</f>
        <v/>
      </c>
      <c r="D48" s="149" t="str">
        <f>IF('NW - M7'!N37="","",IF('NW - M7'!N37="A+","A",IF('NW - M7'!N37="A","A",IF('NW - M7'!N37="B","B",IF('NW - M7'!N37="C","C",IF('NW - M7'!N37="C-","C",IF('NW - M7'!N37="D","D",IF('NW - M7'!N37="E","E"))))))))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M7'!D37=0,0,IF('NW - M7'!D37&gt;=0,'NW - M7'!D37))</f>
        <v>0</v>
      </c>
      <c r="Q48" s="206" t="str">
        <f t="shared" si="7"/>
        <v/>
      </c>
      <c r="R48" s="250">
        <f t="shared" si="8"/>
        <v>0</v>
      </c>
      <c r="S48" s="249">
        <f>IF('NW - M7'!F37=0,0,IF('NW - M7'!F37&gt;=0,'NW - M7'!F37))</f>
        <v>0</v>
      </c>
      <c r="T48" s="206" t="str">
        <f t="shared" si="9"/>
        <v/>
      </c>
      <c r="U48" s="250">
        <f t="shared" si="10"/>
        <v>0</v>
      </c>
      <c r="V48" s="249">
        <f>IF('NW - M7'!E37=0,0,IF('NW - M7'!E37&gt;=0,'NW - M7'!E37))</f>
        <v>0</v>
      </c>
      <c r="W48" s="206" t="str">
        <f t="shared" si="11"/>
        <v/>
      </c>
      <c r="X48" s="250">
        <f t="shared" si="12"/>
        <v>0</v>
      </c>
      <c r="Y48" s="249">
        <f>IF('NW - M7'!I37=0,0,IF('NW - M7'!I37&gt;=0,'NW - M7'!I37))</f>
        <v>0</v>
      </c>
      <c r="Z48" s="206" t="str">
        <f t="shared" si="13"/>
        <v/>
      </c>
      <c r="AA48" s="250">
        <f t="shared" si="14"/>
        <v>0</v>
      </c>
      <c r="AB48" s="249">
        <f>IF('NW - M7'!H37=0,0,IF('NW - M7'!H37&gt;=0,'NW - M7'!H37))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E6'!C49="","",IF('RIO - E6'!C49&gt;"",'RIO - E6'!C49))</f>
        <v/>
      </c>
      <c r="D49" s="149" t="str">
        <f>IF('NW - M7'!N38="","",IF('NW - M7'!N38="A+","A",IF('NW - M7'!N38="A","A",IF('NW - M7'!N38="B","B",IF('NW - M7'!N38="C","C",IF('NW - M7'!N38="C-","C",IF('NW - M7'!N38="D","D",IF('NW - M7'!N38="E","E"))))))))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M7'!D38=0,0,IF('NW - M7'!D38&gt;=0,'NW - M7'!D38))</f>
        <v>0</v>
      </c>
      <c r="Q49" s="206" t="str">
        <f t="shared" si="7"/>
        <v/>
      </c>
      <c r="R49" s="250">
        <f t="shared" si="8"/>
        <v>0</v>
      </c>
      <c r="S49" s="249">
        <f>IF('NW - M7'!F38=0,0,IF('NW - M7'!F38&gt;=0,'NW - M7'!F38))</f>
        <v>0</v>
      </c>
      <c r="T49" s="206" t="str">
        <f t="shared" si="9"/>
        <v/>
      </c>
      <c r="U49" s="250">
        <f t="shared" si="10"/>
        <v>0</v>
      </c>
      <c r="V49" s="249">
        <f>IF('NW - M7'!E38=0,0,IF('NW - M7'!E38&gt;=0,'NW - M7'!E38))</f>
        <v>0</v>
      </c>
      <c r="W49" s="206" t="str">
        <f t="shared" si="11"/>
        <v/>
      </c>
      <c r="X49" s="250">
        <f t="shared" si="12"/>
        <v>0</v>
      </c>
      <c r="Y49" s="249">
        <f>IF('NW - M7'!I38=0,0,IF('NW - M7'!I38&gt;=0,'NW - M7'!I38))</f>
        <v>0</v>
      </c>
      <c r="Z49" s="206" t="str">
        <f t="shared" si="13"/>
        <v/>
      </c>
      <c r="AA49" s="250">
        <f t="shared" si="14"/>
        <v>0</v>
      </c>
      <c r="AB49" s="249">
        <f>IF('NW - M7'!H38=0,0,IF('NW - M7'!H38&gt;=0,'NW - M7'!H38))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E6'!C50="","",IF('RIO - E6'!C50&gt;"",'RIO - E6'!C50))</f>
        <v/>
      </c>
      <c r="D50" s="149" t="str">
        <f>IF('NW - M7'!N39="","",IF('NW - M7'!N39="A+","A",IF('NW - M7'!N39="A","A",IF('NW - M7'!N39="B","B",IF('NW - M7'!N39="C","C",IF('NW - M7'!N39="C-","C",IF('NW - M7'!N39="D","D",IF('NW - M7'!N39="E","E"))))))))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M7'!D39=0,0,IF('NW - M7'!D39&gt;=0,'NW - M7'!D39))</f>
        <v>0</v>
      </c>
      <c r="Q50" s="206" t="str">
        <f t="shared" si="7"/>
        <v/>
      </c>
      <c r="R50" s="250">
        <f t="shared" si="8"/>
        <v>0</v>
      </c>
      <c r="S50" s="249">
        <f>IF('NW - M7'!F39=0,0,IF('NW - M7'!F39&gt;=0,'NW - M7'!F39))</f>
        <v>0</v>
      </c>
      <c r="T50" s="206" t="str">
        <f t="shared" si="9"/>
        <v/>
      </c>
      <c r="U50" s="250">
        <f t="shared" si="10"/>
        <v>0</v>
      </c>
      <c r="V50" s="249">
        <f>IF('NW - M7'!E39=0,0,IF('NW - M7'!E39&gt;=0,'NW - M7'!E39))</f>
        <v>0</v>
      </c>
      <c r="W50" s="206" t="str">
        <f t="shared" si="11"/>
        <v/>
      </c>
      <c r="X50" s="250">
        <f t="shared" si="12"/>
        <v>0</v>
      </c>
      <c r="Y50" s="249">
        <f>IF('NW - M7'!I39=0,0,IF('NW - M7'!I39&gt;=0,'NW - M7'!I39))</f>
        <v>0</v>
      </c>
      <c r="Z50" s="206" t="str">
        <f t="shared" si="13"/>
        <v/>
      </c>
      <c r="AA50" s="250">
        <f t="shared" si="14"/>
        <v>0</v>
      </c>
      <c r="AB50" s="249">
        <f>IF('NW - M7'!H39=0,0,IF('NW - M7'!H39&gt;=0,'NW - M7'!H39))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E6'!C51="","",IF('RIO - E6'!C51&gt;"",'RIO - E6'!C51))</f>
        <v/>
      </c>
      <c r="D51" s="149" t="str">
        <f>IF('NW - M7'!N40="","",IF('NW - M7'!N40="A+","A",IF('NW - M7'!N40="A","A",IF('NW - M7'!N40="B","B",IF('NW - M7'!N40="C","C",IF('NW - M7'!N40="C-","C",IF('NW - M7'!N40="D","D",IF('NW - M7'!N40="E","E"))))))))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M7'!D40=0,0,IF('NW - M7'!D40&gt;=0,'NW - M7'!D40))</f>
        <v>0</v>
      </c>
      <c r="Q51" s="206" t="str">
        <f t="shared" si="7"/>
        <v/>
      </c>
      <c r="R51" s="250">
        <f t="shared" si="8"/>
        <v>0</v>
      </c>
      <c r="S51" s="249">
        <f>IF('NW - M7'!F40=0,0,IF('NW - M7'!F40&gt;=0,'NW - M7'!F40))</f>
        <v>0</v>
      </c>
      <c r="T51" s="206" t="str">
        <f t="shared" si="9"/>
        <v/>
      </c>
      <c r="U51" s="250">
        <f t="shared" si="10"/>
        <v>0</v>
      </c>
      <c r="V51" s="249">
        <f>IF('NW - M7'!E40=0,0,IF('NW - M7'!E40&gt;=0,'NW - M7'!E40))</f>
        <v>0</v>
      </c>
      <c r="W51" s="206" t="str">
        <f t="shared" si="11"/>
        <v/>
      </c>
      <c r="X51" s="250">
        <f t="shared" si="12"/>
        <v>0</v>
      </c>
      <c r="Y51" s="249">
        <f>IF('NW - M7'!I40=0,0,IF('NW - M7'!I40&gt;=0,'NW - M7'!I40))</f>
        <v>0</v>
      </c>
      <c r="Z51" s="206" t="str">
        <f t="shared" si="13"/>
        <v/>
      </c>
      <c r="AA51" s="250">
        <f t="shared" si="14"/>
        <v>0</v>
      </c>
      <c r="AB51" s="249">
        <f>IF('NW - M7'!H40=0,0,IF('NW - M7'!H40&gt;=0,'NW - M7'!H40))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E6'!C52="","",IF('RIO - E6'!C52&gt;"",'RIO - E6'!C52))</f>
        <v/>
      </c>
      <c r="D52" s="149" t="str">
        <f>IF('NW - M7'!N41="","",IF('NW - M7'!N41="A+","A",IF('NW - M7'!N41="A","A",IF('NW - M7'!N41="B","B",IF('NW - M7'!N41="C","C",IF('NW - M7'!N41="C-","C",IF('NW - M7'!N41="D","D",IF('NW - M7'!N41="E","E"))))))))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M7'!D41=0,0,IF('NW - M7'!D41&gt;=0,'NW - M7'!D41))</f>
        <v>0</v>
      </c>
      <c r="Q52" s="207" t="str">
        <f t="shared" si="7"/>
        <v/>
      </c>
      <c r="R52" s="250">
        <f t="shared" si="8"/>
        <v>0</v>
      </c>
      <c r="S52" s="249">
        <f>IF('NW - M7'!F41=0,0,IF('NW - M7'!F41&gt;=0,'NW - M7'!F41))</f>
        <v>0</v>
      </c>
      <c r="T52" s="207" t="str">
        <f t="shared" si="9"/>
        <v/>
      </c>
      <c r="U52" s="250">
        <f t="shared" si="10"/>
        <v>0</v>
      </c>
      <c r="V52" s="249">
        <f>IF('NW - M7'!E41=0,0,IF('NW - M7'!E41&gt;=0,'NW - M7'!E41))</f>
        <v>0</v>
      </c>
      <c r="W52" s="207" t="str">
        <f t="shared" si="11"/>
        <v/>
      </c>
      <c r="X52" s="250">
        <f t="shared" si="12"/>
        <v>0</v>
      </c>
      <c r="Y52" s="249">
        <f>IF('NW - M7'!I41=0,0,IF('NW - M7'!I41&gt;=0,'NW - M7'!I41))</f>
        <v>0</v>
      </c>
      <c r="Z52" s="207" t="str">
        <f t="shared" si="13"/>
        <v/>
      </c>
      <c r="AA52" s="250">
        <f t="shared" si="14"/>
        <v>0</v>
      </c>
      <c r="AB52" s="249">
        <f>IF('NW - M7'!H41=0,0,IF('NW - M7'!H41&gt;=0,'NW - M7'!H41))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3</v>
      </c>
      <c r="C53" s="341" t="s">
        <v>76</v>
      </c>
      <c r="D53" s="342"/>
      <c r="E53" s="342"/>
      <c r="F53" s="342"/>
      <c r="G53" s="342"/>
      <c r="H53" s="342"/>
      <c r="I53" s="342"/>
      <c r="J53" s="342"/>
      <c r="K53" s="342"/>
      <c r="L53" s="342"/>
      <c r="M53" s="342"/>
      <c r="N53" s="343"/>
      <c r="O53" s="347">
        <f>IF(AD53=0,0,IF(AD53&gt;0,AD54))</f>
        <v>1</v>
      </c>
      <c r="P53" s="348"/>
      <c r="Q53" s="349"/>
      <c r="R53" s="350">
        <f>IF(AE53=0,0,IF(AE53&gt;0,AE54))</f>
        <v>1</v>
      </c>
      <c r="S53" s="348"/>
      <c r="T53" s="349"/>
      <c r="U53" s="350">
        <f>IF(AF53=0,0,IF(AF53&gt;0,AF54))</f>
        <v>0</v>
      </c>
      <c r="V53" s="348"/>
      <c r="W53" s="351"/>
      <c r="X53" s="347">
        <f>IF(AG53=0,0,IF(AG53&gt;0,AG54))</f>
        <v>1</v>
      </c>
      <c r="Y53" s="348"/>
      <c r="Z53" s="349"/>
      <c r="AA53" s="350">
        <f>IF(AH53=0,0,IF(AH53&gt;0,AH54))</f>
        <v>1</v>
      </c>
      <c r="AB53" s="348"/>
      <c r="AC53" s="351"/>
      <c r="AD53" s="173">
        <f>SUM(AD17:AD52)</f>
        <v>2</v>
      </c>
      <c r="AE53" s="126">
        <f>SUM(AE17:AE52)</f>
        <v>2</v>
      </c>
      <c r="AF53" s="126">
        <f>SUM(AF17:AF52)</f>
        <v>0</v>
      </c>
      <c r="AG53" s="126">
        <f>SUM(AG17:AG52)</f>
        <v>2</v>
      </c>
      <c r="AH53" s="126">
        <f>SUM(AH17:AH52)</f>
        <v>2</v>
      </c>
      <c r="AI53" s="127">
        <f>SUM(AV17:AV52)</f>
        <v>1.6</v>
      </c>
      <c r="AJ53" s="127">
        <f t="shared" ref="AJ53:AS53" si="42">SUM(AJ17:AJ52)</f>
        <v>0</v>
      </c>
      <c r="AK53" s="127">
        <f t="shared" si="42"/>
        <v>0</v>
      </c>
      <c r="AL53" s="127">
        <f t="shared" si="42"/>
        <v>1.6</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f>IF(AI53=0,"",IF(AI53&gt;0,$AI$54))</f>
        <v>0.53333333333333333</v>
      </c>
      <c r="AW53" s="129" t="str">
        <f>IF(AW54=0,"",IF(AW54&gt;0,AW54/AX54))</f>
        <v/>
      </c>
      <c r="AX53" s="1">
        <f>SUM(AX42:AX52)</f>
        <v>5</v>
      </c>
      <c r="AY53" s="130" t="str">
        <f>IF(L54=0,"",IF(L54&gt;0,AY54/L54))</f>
        <v/>
      </c>
      <c r="AZ53" s="131">
        <f>IF(B53=0,"",IF(B53&gt;0,AZ55/B53))</f>
        <v>1</v>
      </c>
      <c r="BA53" s="132"/>
      <c r="BB53" s="133" t="str">
        <f>IF(BD53=0,"",IF(BD53&gt;0,BD53/BB54))</f>
        <v/>
      </c>
      <c r="BC53" s="132"/>
      <c r="BD53" s="132">
        <f>SUM(BD17:BD52)</f>
        <v>0</v>
      </c>
      <c r="BE53" s="133" t="str">
        <f>IF(BG53=0,"",IF(BG53&gt;0,BG53/BE54))</f>
        <v/>
      </c>
      <c r="BF53" s="31"/>
      <c r="BG53" s="134">
        <f>SUM(BG17:BG52)</f>
        <v>0</v>
      </c>
    </row>
    <row r="54" spans="1:59" x14ac:dyDescent="0.2">
      <c r="B54" s="143">
        <f>COUNTIF(B17:B52,0)</f>
        <v>33</v>
      </c>
      <c r="C54" s="5"/>
      <c r="D54" s="5"/>
      <c r="E54" s="5"/>
      <c r="F54" s="5"/>
      <c r="G54" s="5"/>
      <c r="H54" s="5"/>
      <c r="I54" s="5"/>
      <c r="L54" s="5">
        <f>COUNTA(L17:L52)</f>
        <v>0</v>
      </c>
      <c r="M54" s="5">
        <f>COUNTA(M17:M52)</f>
        <v>0</v>
      </c>
      <c r="O54" s="332" t="s">
        <v>35</v>
      </c>
      <c r="P54" s="333"/>
      <c r="Q54" s="333"/>
      <c r="R54" s="333"/>
      <c r="S54" s="333"/>
      <c r="T54" s="333"/>
      <c r="U54" s="333"/>
      <c r="V54" s="333"/>
      <c r="W54" s="334"/>
      <c r="X54" s="338" t="s">
        <v>36</v>
      </c>
      <c r="Y54" s="339"/>
      <c r="Z54" s="339"/>
      <c r="AA54" s="339"/>
      <c r="AB54" s="339"/>
      <c r="AC54" s="340"/>
      <c r="AD54" s="135">
        <f t="shared" ref="AD54:AI54" si="43">AD53/AD56</f>
        <v>1</v>
      </c>
      <c r="AE54" s="135">
        <f t="shared" si="43"/>
        <v>1</v>
      </c>
      <c r="AF54" s="135">
        <f t="shared" si="43"/>
        <v>0</v>
      </c>
      <c r="AG54" s="135">
        <f t="shared" si="43"/>
        <v>1</v>
      </c>
      <c r="AH54" s="135">
        <f t="shared" si="43"/>
        <v>1</v>
      </c>
      <c r="AI54" s="135">
        <f t="shared" si="43"/>
        <v>0.53333333333333333</v>
      </c>
      <c r="AJ54" s="106">
        <f t="shared" ref="AJ54:AS54" si="44">AJ53/10</f>
        <v>0</v>
      </c>
      <c r="AK54" s="106">
        <f t="shared" si="44"/>
        <v>0</v>
      </c>
      <c r="AL54" s="106">
        <f t="shared" si="44"/>
        <v>0.16</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165</v>
      </c>
      <c r="AY54" s="136">
        <f>SUM(AY17:AY51)</f>
        <v>0</v>
      </c>
      <c r="AZ54" s="5">
        <f>COUNTA(AZ17:AZ52)</f>
        <v>0</v>
      </c>
      <c r="BA54" s="3"/>
      <c r="BB54" s="5">
        <f>COUNTA(BB17:BB52)</f>
        <v>0</v>
      </c>
      <c r="BC54" s="5"/>
      <c r="BD54" s="5"/>
      <c r="BE54" s="5">
        <f>COUNTA(BE17:BE52)</f>
        <v>0</v>
      </c>
      <c r="BF54" s="3"/>
      <c r="BG54" s="3"/>
    </row>
    <row r="55" spans="1:59" ht="13.5" thickBot="1" x14ac:dyDescent="0.25">
      <c r="L55" s="3"/>
      <c r="M55" s="3"/>
      <c r="O55" s="335">
        <f>IF(B54=0,"",IF(B54&gt;0,(O53+R53+U53)/3))</f>
        <v>0.66666666666666663</v>
      </c>
      <c r="P55" s="336"/>
      <c r="Q55" s="336"/>
      <c r="R55" s="336"/>
      <c r="S55" s="336"/>
      <c r="T55" s="336"/>
      <c r="U55" s="336"/>
      <c r="V55" s="336"/>
      <c r="W55" s="337"/>
      <c r="X55" s="335">
        <f>IF(B54=0,"",IF(B54&gt;0,(X53+AA53)/2))</f>
        <v>1</v>
      </c>
      <c r="Y55" s="336"/>
      <c r="Z55" s="336"/>
      <c r="AA55" s="336"/>
      <c r="AB55" s="336"/>
      <c r="AC55" s="337"/>
      <c r="AD55" s="3">
        <f>COUNTIF(O17:O52,0)</f>
        <v>34</v>
      </c>
      <c r="AE55" s="3">
        <f>COUNTIF(R17:R52,0)</f>
        <v>34</v>
      </c>
      <c r="AF55" s="3">
        <f>COUNTIF(U17:U52,0)</f>
        <v>34</v>
      </c>
      <c r="AG55" s="3">
        <f>COUNTIF(X17:X52,0)</f>
        <v>34</v>
      </c>
      <c r="AH55" s="3">
        <f>COUNTIF(AA17:AA52,0)</f>
        <v>34</v>
      </c>
      <c r="AI55" s="3">
        <f>COUNTIF(AV17:AV52,"")</f>
        <v>33</v>
      </c>
      <c r="AJ55" s="106" t="e">
        <f>AJ53/K65*K67</f>
        <v>#DIV/0!</v>
      </c>
      <c r="AK55" s="106" t="e">
        <f>AK53/L65*L67</f>
        <v>#DIV/0!</v>
      </c>
      <c r="AL55" s="106">
        <f>AL53/M65*M67</f>
        <v>0.53333333333333333</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3</v>
      </c>
      <c r="BA55" s="3"/>
      <c r="BB55" s="5"/>
      <c r="BC55" s="5"/>
      <c r="BD55" s="5"/>
      <c r="BE55" s="5"/>
      <c r="BF55" s="3"/>
      <c r="BG55" s="3"/>
    </row>
    <row r="56" spans="1:59" ht="20.25" thickBot="1" x14ac:dyDescent="0.45">
      <c r="B56" s="46" t="s">
        <v>7</v>
      </c>
      <c r="C56" s="174"/>
      <c r="D56" s="174"/>
      <c r="E56" s="174"/>
      <c r="F56" s="174"/>
      <c r="G56" s="174"/>
      <c r="H56" s="174"/>
      <c r="I56" s="174"/>
      <c r="J56" s="329">
        <f>J1</f>
        <v>7</v>
      </c>
      <c r="K56" s="330"/>
      <c r="L56" s="331"/>
      <c r="M56" s="32"/>
      <c r="O56" s="137"/>
      <c r="P56" s="137"/>
      <c r="Q56" s="137"/>
      <c r="R56" s="137"/>
      <c r="S56" s="137"/>
      <c r="T56" s="137"/>
      <c r="U56" s="137"/>
      <c r="V56" s="137"/>
      <c r="W56" s="137"/>
      <c r="X56" s="137"/>
      <c r="Y56" s="137"/>
      <c r="Z56" s="137"/>
      <c r="AA56" s="137"/>
      <c r="AB56" s="137"/>
      <c r="AC56" s="137"/>
      <c r="AD56" s="3">
        <f t="shared" ref="AD56:AI56" si="45">36-AD55</f>
        <v>2</v>
      </c>
      <c r="AE56" s="3">
        <f t="shared" si="45"/>
        <v>2</v>
      </c>
      <c r="AF56" s="3">
        <f t="shared" si="45"/>
        <v>2</v>
      </c>
      <c r="AG56" s="3">
        <f t="shared" si="45"/>
        <v>2</v>
      </c>
      <c r="AH56" s="3">
        <f t="shared" si="45"/>
        <v>2</v>
      </c>
      <c r="AI56" s="3">
        <f t="shared" si="45"/>
        <v>3</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0">
        <f>J2</f>
        <v>0</v>
      </c>
      <c r="K57" s="321"/>
      <c r="L57" s="322"/>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f>AD54</f>
        <v>1</v>
      </c>
      <c r="K60" s="106">
        <f>AE54</f>
        <v>1</v>
      </c>
      <c r="L60" s="106">
        <f>AF54</f>
        <v>0</v>
      </c>
      <c r="M60" s="106">
        <f>AG54</f>
        <v>1</v>
      </c>
      <c r="N60" s="106">
        <f>AH54</f>
        <v>1</v>
      </c>
      <c r="O60" s="106">
        <f>$AV$53</f>
        <v>0.53333333333333333</v>
      </c>
      <c r="P60" s="140" t="str">
        <f>$AW$53</f>
        <v/>
      </c>
      <c r="Q60" s="106">
        <f>$AZ$53</f>
        <v>1</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3</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f>K65/$B$53</f>
        <v>0</v>
      </c>
      <c r="L67" s="106">
        <f>L65/$B$53</f>
        <v>0</v>
      </c>
      <c r="M67" s="106">
        <f>M65/$B$53</f>
        <v>1</v>
      </c>
      <c r="N67" s="106">
        <f>N65/$B$53</f>
        <v>0</v>
      </c>
      <c r="O67" s="106">
        <f>O65/$B$53</f>
        <v>0</v>
      </c>
      <c r="P67" s="106"/>
      <c r="Q67" s="106"/>
    </row>
    <row r="68" spans="10:17" x14ac:dyDescent="0.2">
      <c r="J68" s="142" t="s">
        <v>85</v>
      </c>
      <c r="K68" s="106" t="e">
        <f>AJ55</f>
        <v>#DIV/0!</v>
      </c>
      <c r="L68" s="106" t="e">
        <f>AK55</f>
        <v>#DIV/0!</v>
      </c>
      <c r="M68" s="106">
        <f>AL55</f>
        <v>0.53333333333333333</v>
      </c>
      <c r="N68" s="106" t="e">
        <f>AM55</f>
        <v>#DIV/0!</v>
      </c>
      <c r="O68" s="106" t="e">
        <f>AN55</f>
        <v>#DIV/0!</v>
      </c>
      <c r="P68" s="106"/>
      <c r="Q68" s="106"/>
    </row>
    <row r="69" spans="10:17" x14ac:dyDescent="0.2">
      <c r="J69" s="142" t="s">
        <v>86</v>
      </c>
      <c r="K69" s="106">
        <f>K66/$B$53</f>
        <v>0</v>
      </c>
      <c r="L69" s="106">
        <f>L66/$B$53</f>
        <v>0</v>
      </c>
      <c r="M69" s="106">
        <f>M66/$B$53</f>
        <v>0</v>
      </c>
      <c r="N69" s="106">
        <f>N66/$B$53</f>
        <v>0</v>
      </c>
      <c r="O69" s="106">
        <f>O66/$B$53</f>
        <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f>IF($E$6="ja",K67,IF($E6="nee",K69))</f>
        <v>0</v>
      </c>
      <c r="L71" s="106">
        <f>IF($E$6="ja",L67,IF($E6="nee",L69))</f>
        <v>0</v>
      </c>
      <c r="M71" s="106">
        <f>IF($E$6="ja",M67,IF($E6="nee",M69))</f>
        <v>1</v>
      </c>
      <c r="N71" s="106">
        <f>IF($E$6="ja",N67,IF($E6="nee",N69))</f>
        <v>0</v>
      </c>
      <c r="O71" s="106">
        <f>IF($E$6="ja",O67,IF($E6="nee",O69))</f>
        <v>0</v>
      </c>
      <c r="P71" s="106"/>
      <c r="Q71" s="106"/>
    </row>
    <row r="72" spans="10:17" x14ac:dyDescent="0.2">
      <c r="J72" s="142" t="s">
        <v>89</v>
      </c>
      <c r="K72" s="106" t="e">
        <f>IF($E$6="ja",K68,IF($E$6="nee",K70))</f>
        <v>#DIV/0!</v>
      </c>
      <c r="L72" s="106" t="e">
        <f>IF($E$6="ja",L68,IF($E$6="nee",L70))</f>
        <v>#DIV/0!</v>
      </c>
      <c r="M72" s="106">
        <f>IF($E$6="ja",M68,IF($E$6="nee",M70))</f>
        <v>0.53333333333333333</v>
      </c>
      <c r="N72" s="106" t="e">
        <f>IF($E$6="ja",N68,IF($E$6="nee",N70))</f>
        <v>#DIV/0!</v>
      </c>
      <c r="O72" s="106" t="e">
        <f>IF($E$6="ja",O68,IF($E$6="nee",O70))</f>
        <v>#DIV/0!</v>
      </c>
      <c r="P72" s="106"/>
      <c r="Q72" s="106"/>
    </row>
  </sheetData>
  <sheetProtection algorithmName="SHA-512" hashValue="ObGxAtqGfJEeD/QQuOpsE0lxyR+3YWR54CAl6NlAJSzPmpr6CZai93TftbIyc9GySVXsHgRdmjAcXqow4ja5TQ==" saltValue="tlC8m1raNZJ0paHIX2jLGQ==" spinCount="100000" sheet="1" objects="1" scenarios="1"/>
  <mergeCells count="20">
    <mergeCell ref="R53:T53"/>
    <mergeCell ref="U53:W53"/>
    <mergeCell ref="X53:Z53"/>
    <mergeCell ref="AA53:AC53"/>
    <mergeCell ref="J57:L57"/>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s>
  <phoneticPr fontId="3" type="noConversion"/>
  <conditionalFormatting sqref="AZ17:AZ52">
    <cfRule type="cellIs" dxfId="353" priority="5" stopIfTrue="1" operator="equal">
      <formula>"x"</formula>
    </cfRule>
    <cfRule type="expression" dxfId="352" priority="6" stopIfTrue="1">
      <formula>$B17&gt;0</formula>
    </cfRule>
    <cfRule type="cellIs" dxfId="351" priority="7" stopIfTrue="1" operator="equal">
      <formula>""</formula>
    </cfRule>
  </conditionalFormatting>
  <conditionalFormatting sqref="BB17:BB52">
    <cfRule type="expression" dxfId="350" priority="8" stopIfTrue="1">
      <formula>$BC17=""</formula>
    </cfRule>
    <cfRule type="expression" dxfId="349" priority="9" stopIfTrue="1">
      <formula>$BC17&lt;$BA17</formula>
    </cfRule>
    <cfRule type="expression" dxfId="348" priority="10" stopIfTrue="1">
      <formula>$BC17&gt;=$BA17</formula>
    </cfRule>
  </conditionalFormatting>
  <conditionalFormatting sqref="BE17:BE52">
    <cfRule type="expression" dxfId="347" priority="11" stopIfTrue="1">
      <formula>$BF17=""</formula>
    </cfRule>
    <cfRule type="expression" dxfId="346" priority="12" stopIfTrue="1">
      <formula>$BF17&lt;$BC17</formula>
    </cfRule>
    <cfRule type="expression" dxfId="345" priority="13" stopIfTrue="1">
      <formula>$BF17&gt;=$BC17</formula>
    </cfRule>
  </conditionalFormatting>
  <conditionalFormatting sqref="E17:E52">
    <cfRule type="expression" dxfId="344" priority="17" stopIfTrue="1">
      <formula>$E17=""</formula>
    </cfRule>
    <cfRule type="expression" dxfId="343" priority="18" stopIfTrue="1">
      <formula>$E17&gt;$C17</formula>
    </cfRule>
    <cfRule type="expression" dxfId="342" priority="19" stopIfTrue="1">
      <formula>$E17&lt;$C17</formula>
    </cfRule>
  </conditionalFormatting>
  <conditionalFormatting sqref="B17:B52">
    <cfRule type="cellIs" dxfId="341" priority="20" stopIfTrue="1" operator="equal">
      <formula>""</formula>
    </cfRule>
    <cfRule type="cellIs" dxfId="340" priority="21" stopIfTrue="1" operator="equal">
      <formula>0</formula>
    </cfRule>
    <cfRule type="expression" dxfId="339" priority="22" stopIfTrue="1">
      <formula>$AV17&lt;0.8</formula>
    </cfRule>
  </conditionalFormatting>
  <conditionalFormatting sqref="E6:E7 J8:K8">
    <cfRule type="cellIs" dxfId="338" priority="23" stopIfTrue="1" operator="equal">
      <formula>"ja"</formula>
    </cfRule>
    <cfRule type="cellIs" dxfId="337" priority="24" stopIfTrue="1" operator="equal">
      <formula>"nee"</formula>
    </cfRule>
  </conditionalFormatting>
  <conditionalFormatting sqref="BA17:BA52 BG53 BA53:BE53">
    <cfRule type="expression" dxfId="336" priority="25" stopIfTrue="1">
      <formula>$U$2="ja"</formula>
    </cfRule>
    <cfRule type="expression" dxfId="335" priority="26" stopIfTrue="1">
      <formula>$X$2="ja"</formula>
    </cfRule>
  </conditionalFormatting>
  <conditionalFormatting sqref="BE10:BE12 BB10:BB12">
    <cfRule type="expression" dxfId="334" priority="27" stopIfTrue="1">
      <formula>$X$2="ja"</formula>
    </cfRule>
  </conditionalFormatting>
  <conditionalFormatting sqref="BC17:BD52 BF17:BG52">
    <cfRule type="expression" dxfId="333" priority="28" stopIfTrue="1">
      <formula>$X$2="ja"</formula>
    </cfRule>
  </conditionalFormatting>
  <conditionalFormatting sqref="AW53">
    <cfRule type="cellIs" dxfId="332" priority="29" stopIfTrue="1" operator="equal">
      <formula>""</formula>
    </cfRule>
    <cfRule type="cellIs" dxfId="331" priority="30" stopIfTrue="1" operator="greaterThan">
      <formula>0.03</formula>
    </cfRule>
  </conditionalFormatting>
  <conditionalFormatting sqref="AW17:AW52">
    <cfRule type="cellIs" dxfId="330" priority="31" stopIfTrue="1" operator="equal">
      <formula>1</formula>
    </cfRule>
    <cfRule type="cellIs" dxfId="329" priority="32" stopIfTrue="1" operator="equal">
      <formula>""</formula>
    </cfRule>
  </conditionalFormatting>
  <conditionalFormatting sqref="AY17:AY52">
    <cfRule type="cellIs" dxfId="328" priority="33" stopIfTrue="1" operator="equal">
      <formula>1</formula>
    </cfRule>
    <cfRule type="cellIs" dxfId="327" priority="34" stopIfTrue="1" operator="lessThan">
      <formula>1</formula>
    </cfRule>
    <cfRule type="cellIs" dxfId="326" priority="35" stopIfTrue="1" operator="equal">
      <formula>""</formula>
    </cfRule>
  </conditionalFormatting>
  <conditionalFormatting sqref="AV10:AV12">
    <cfRule type="cellIs" dxfId="325" priority="36" stopIfTrue="1" operator="equal">
      <formula>1</formula>
    </cfRule>
    <cfRule type="cellIs" dxfId="324" priority="37" stopIfTrue="1" operator="lessThan">
      <formula>1</formula>
    </cfRule>
  </conditionalFormatting>
  <conditionalFormatting sqref="N10:N12">
    <cfRule type="expression" dxfId="323" priority="38" stopIfTrue="1">
      <formula>$U$2="ja"</formula>
    </cfRule>
    <cfRule type="expression" dxfId="322" priority="39" stopIfTrue="1">
      <formula>$X$2="ja"</formula>
    </cfRule>
  </conditionalFormatting>
  <conditionalFormatting sqref="O10:Q12">
    <cfRule type="expression" dxfId="321" priority="40" stopIfTrue="1">
      <formula>$U$1="ja"</formula>
    </cfRule>
    <cfRule type="expression" dxfId="320" priority="41" stopIfTrue="1">
      <formula>$X$1="ja"</formula>
    </cfRule>
    <cfRule type="expression" dxfId="319" priority="42" stopIfTrue="1">
      <formula>$AD$1="ja"</formula>
    </cfRule>
  </conditionalFormatting>
  <conditionalFormatting sqref="R10:T12">
    <cfRule type="expression" dxfId="318" priority="43" stopIfTrue="1">
      <formula>$AA$1="ja"</formula>
    </cfRule>
    <cfRule type="expression" dxfId="317" priority="44" stopIfTrue="1">
      <formula>$AD$1="ja"</formula>
    </cfRule>
  </conditionalFormatting>
  <conditionalFormatting sqref="U11:U12">
    <cfRule type="expression" dxfId="316" priority="45" stopIfTrue="1">
      <formula>$AD$1="ja"</formula>
    </cfRule>
  </conditionalFormatting>
  <conditionalFormatting sqref="X10:X12 AA10:AC12">
    <cfRule type="expression" dxfId="315" priority="46" stopIfTrue="1">
      <formula>$X$1="ja"</formula>
    </cfRule>
    <cfRule type="expression" dxfId="314" priority="47" stopIfTrue="1">
      <formula>$AA$1="ja"</formula>
    </cfRule>
    <cfRule type="expression" dxfId="313" priority="48" stopIfTrue="1">
      <formula>$AD$1="ja"</formula>
    </cfRule>
  </conditionalFormatting>
  <conditionalFormatting sqref="AU17:AU52">
    <cfRule type="cellIs" dxfId="312" priority="49" stopIfTrue="1" operator="notEqual">
      <formula>""</formula>
    </cfRule>
  </conditionalFormatting>
  <conditionalFormatting sqref="M17:M52">
    <cfRule type="cellIs" dxfId="311" priority="50" stopIfTrue="1" operator="equal">
      <formula>"x"</formula>
    </cfRule>
    <cfRule type="cellIs" dxfId="310" priority="51" stopIfTrue="1" operator="equal">
      <formula>""</formula>
    </cfRule>
  </conditionalFormatting>
  <conditionalFormatting sqref="H17:I52">
    <cfRule type="cellIs" dxfId="309" priority="52" stopIfTrue="1" operator="equal">
      <formula>""</formula>
    </cfRule>
  </conditionalFormatting>
  <conditionalFormatting sqref="L17:L52">
    <cfRule type="cellIs" dxfId="308" priority="53" stopIfTrue="1" operator="equal">
      <formula>"x"</formula>
    </cfRule>
    <cfRule type="cellIs" dxfId="307" priority="54" stopIfTrue="1" operator="equal">
      <formula>""</formula>
    </cfRule>
  </conditionalFormatting>
  <conditionalFormatting sqref="N17:N52">
    <cfRule type="cellIs" dxfId="306" priority="55" stopIfTrue="1" operator="equal">
      <formula>""</formula>
    </cfRule>
    <cfRule type="cellIs" dxfId="305" priority="56" stopIfTrue="1" operator="greaterThan">
      <formula>""</formula>
    </cfRule>
  </conditionalFormatting>
  <conditionalFormatting sqref="J17:K52">
    <cfRule type="cellIs" dxfId="304" priority="57" stopIfTrue="1" operator="equal">
      <formula>""</formula>
    </cfRule>
  </conditionalFormatting>
  <conditionalFormatting sqref="F17:G52">
    <cfRule type="expression" dxfId="303" priority="58" stopIfTrue="1">
      <formula>""</formula>
    </cfRule>
  </conditionalFormatting>
  <conditionalFormatting sqref="S17:S52 V17:V52 Y17:Y52 P17:P52 AB17:AB52">
    <cfRule type="cellIs" dxfId="302" priority="59" stopIfTrue="1" operator="equal">
      <formula>0</formula>
    </cfRule>
    <cfRule type="cellIs" dxfId="301" priority="60" stopIfTrue="1" operator="greaterThan">
      <formula>0</formula>
    </cfRule>
  </conditionalFormatting>
  <conditionalFormatting sqref="Q17:Q52 T17:T52 W17:W52 Z17:Z52 AC17:AC52">
    <cfRule type="cellIs" dxfId="300" priority="61" stopIfTrue="1" operator="equal">
      <formula>""</formula>
    </cfRule>
    <cfRule type="cellIs" dxfId="299" priority="62" stopIfTrue="1" operator="greaterThanOrEqual">
      <formula>1.3</formula>
    </cfRule>
    <cfRule type="cellIs" dxfId="298" priority="63" stopIfTrue="1" operator="lessThan">
      <formula>0.8</formula>
    </cfRule>
  </conditionalFormatting>
  <conditionalFormatting sqref="AV17:AV52">
    <cfRule type="cellIs" dxfId="297" priority="64" stopIfTrue="1" operator="equal">
      <formula>1</formula>
    </cfRule>
    <cfRule type="cellIs" dxfId="296" priority="65" stopIfTrue="1" operator="lessThan">
      <formula>0.8</formula>
    </cfRule>
    <cfRule type="cellIs" dxfId="295" priority="66" stopIfTrue="1" operator="between">
      <formula>0.8</formula>
      <formula>1</formula>
    </cfRule>
  </conditionalFormatting>
  <conditionalFormatting sqref="D17:D52">
    <cfRule type="cellIs" dxfId="294" priority="67" stopIfTrue="1" operator="equal">
      <formula>""</formula>
    </cfRule>
    <cfRule type="cellIs" dxfId="293" priority="68" stopIfTrue="1" operator="greaterThan">
      <formula>""</formula>
    </cfRule>
  </conditionalFormatting>
  <conditionalFormatting sqref="O17:O52">
    <cfRule type="cellIs" dxfId="292" priority="69" stopIfTrue="1" operator="equal">
      <formula>0</formula>
    </cfRule>
    <cfRule type="expression" dxfId="291" priority="70" stopIfTrue="1">
      <formula>$Q17&gt;=0.8</formula>
    </cfRule>
    <cfRule type="expression" dxfId="290" priority="71" stopIfTrue="1">
      <formula>$Q17&lt;0.8</formula>
    </cfRule>
  </conditionalFormatting>
  <conditionalFormatting sqref="R17:R52">
    <cfRule type="cellIs" dxfId="289" priority="72" stopIfTrue="1" operator="equal">
      <formula>0</formula>
    </cfRule>
    <cfRule type="expression" dxfId="288" priority="73" stopIfTrue="1">
      <formula>$T17&gt;=0.8</formula>
    </cfRule>
    <cfRule type="expression" dxfId="287" priority="74" stopIfTrue="1">
      <formula>$T17&lt;0.8</formula>
    </cfRule>
  </conditionalFormatting>
  <conditionalFormatting sqref="U17:U52">
    <cfRule type="cellIs" dxfId="286" priority="75" stopIfTrue="1" operator="equal">
      <formula>0</formula>
    </cfRule>
    <cfRule type="expression" dxfId="285" priority="76" stopIfTrue="1">
      <formula>$W17&gt;=0.8</formula>
    </cfRule>
    <cfRule type="expression" dxfId="284" priority="77" stopIfTrue="1">
      <formula>$W17&lt;0.8</formula>
    </cfRule>
  </conditionalFormatting>
  <conditionalFormatting sqref="X17:X52">
    <cfRule type="cellIs" dxfId="283" priority="78" stopIfTrue="1" operator="equal">
      <formula>0</formula>
    </cfRule>
    <cfRule type="expression" dxfId="282" priority="79" stopIfTrue="1">
      <formula>$Z17&gt;=0.8</formula>
    </cfRule>
    <cfRule type="expression" dxfId="281" priority="80" stopIfTrue="1">
      <formula>$Z17&lt;0.8</formula>
    </cfRule>
  </conditionalFormatting>
  <conditionalFormatting sqref="AA17:AA52">
    <cfRule type="cellIs" dxfId="280" priority="81" stopIfTrue="1" operator="equal">
      <formula>0</formula>
    </cfRule>
    <cfRule type="expression" dxfId="279" priority="82" stopIfTrue="1">
      <formula>$AC17&gt;=0.8</formula>
    </cfRule>
    <cfRule type="expression" dxfId="278" priority="83" stopIfTrue="1">
      <formula>$AC17&lt;0.8</formula>
    </cfRule>
  </conditionalFormatting>
  <conditionalFormatting sqref="Y10:Z12">
    <cfRule type="expression" dxfId="277" priority="163" stopIfTrue="1">
      <formula>$AA$1="ja"</formula>
    </cfRule>
    <cfRule type="expression" dxfId="276" priority="164" stopIfTrue="1">
      <formula>$AD$1="ja"</formula>
    </cfRule>
    <cfRule type="expression" dxfId="275" priority="165" stopIfTrue="1">
      <formula>$X$1="ja"</formula>
    </cfRule>
  </conditionalFormatting>
  <conditionalFormatting sqref="U10 V10:W12">
    <cfRule type="expression" dxfId="274" priority="166" stopIfTrue="1">
      <formula>$AD$1="ja"</formula>
    </cfRule>
  </conditionalFormatting>
  <conditionalFormatting sqref="C17:C52">
    <cfRule type="expression" dxfId="273" priority="2" stopIfTrue="1">
      <formula>$C17=""</formula>
    </cfRule>
    <cfRule type="expression" dxfId="272" priority="3" stopIfTrue="1">
      <formula>$C17&gt;$E17</formula>
    </cfRule>
    <cfRule type="expression" dxfId="271" priority="4" stopIfTrue="1">
      <formula>$C17&lt;$E17</formula>
    </cfRule>
  </conditionalFormatting>
  <conditionalFormatting sqref="AT17:AT52">
    <cfRule type="cellIs" dxfId="270"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V39"/>
  <sheetViews>
    <sheetView showGridLines="0" showRowColHeaders="0" zoomScale="75" zoomScaleNormal="85" workbookViewId="0">
      <selection activeCell="F4" sqref="F4"/>
    </sheetView>
  </sheetViews>
  <sheetFormatPr defaultRowHeight="12.75" x14ac:dyDescent="0.2"/>
  <cols>
    <col min="1" max="1" width="4" bestFit="1" customWidth="1"/>
    <col min="2" max="2" width="20.7109375" style="33" customWidth="1"/>
    <col min="3" max="3" width="4" customWidth="1"/>
    <col min="5" max="5" width="18" customWidth="1"/>
    <col min="19" max="19" width="18.140625" style="1" bestFit="1" customWidth="1"/>
    <col min="20" max="20" width="12.85546875" style="1" customWidth="1"/>
    <col min="21" max="21" width="18.28515625" style="1" bestFit="1" customWidth="1"/>
    <col min="22" max="22" width="15.42578125" style="1" bestFit="1" customWidth="1"/>
  </cols>
  <sheetData>
    <row r="1" spans="1:22" ht="13.5" thickBot="1" x14ac:dyDescent="0.25"/>
    <row r="2" spans="1:22" ht="21.75" thickBot="1" x14ac:dyDescent="0.45">
      <c r="A2" s="41"/>
      <c r="B2" s="42" t="str">
        <f>BEGINBLAD!A5</f>
        <v>namen leerlingen:</v>
      </c>
      <c r="D2" s="354" t="s">
        <v>7</v>
      </c>
      <c r="E2" s="361"/>
      <c r="F2" s="311">
        <v>7</v>
      </c>
      <c r="G2" s="355" t="str">
        <f>VLOOKUP($F$4,BEGINBLAD!A1:C41,2)</f>
        <v>leerling 2</v>
      </c>
      <c r="H2" s="355"/>
      <c r="I2" s="355"/>
      <c r="J2" s="355"/>
      <c r="K2" s="355"/>
      <c r="L2" s="355"/>
      <c r="M2" s="355"/>
      <c r="N2" s="356"/>
      <c r="S2" s="220" t="s">
        <v>106</v>
      </c>
      <c r="T2" s="232" t="s">
        <v>55</v>
      </c>
      <c r="U2" s="232" t="s">
        <v>107</v>
      </c>
      <c r="V2" s="233" t="s">
        <v>108</v>
      </c>
    </row>
    <row r="3" spans="1:22" ht="13.5" thickBot="1" x14ac:dyDescent="0.25">
      <c r="A3" s="37">
        <f>BEGINBLAD!A6</f>
        <v>1</v>
      </c>
      <c r="B3" s="38" t="str">
        <f>BEGINBLAD!B6</f>
        <v>leerling 1</v>
      </c>
    </row>
    <row r="4" spans="1:22" ht="21.75" thickBot="1" x14ac:dyDescent="0.45">
      <c r="A4" s="37">
        <f>BEGINBLAD!A7</f>
        <v>2</v>
      </c>
      <c r="B4" s="38" t="str">
        <f>BEGINBLAD!B7</f>
        <v>leerling 2</v>
      </c>
      <c r="D4" s="352" t="s">
        <v>24</v>
      </c>
      <c r="E4" s="353"/>
      <c r="F4" s="217">
        <v>2</v>
      </c>
      <c r="G4" s="357" t="s">
        <v>145</v>
      </c>
      <c r="H4" s="358"/>
      <c r="I4" s="359">
        <f>VLOOKUP($F$4,BEGINBLAD!A6:C41,3)</f>
        <v>38056</v>
      </c>
      <c r="J4" s="359"/>
      <c r="K4" s="359"/>
      <c r="L4" s="359"/>
      <c r="M4" s="359"/>
      <c r="N4" s="360"/>
      <c r="S4" s="220" t="s">
        <v>109</v>
      </c>
      <c r="T4" s="224" t="str">
        <f>VLOOKUP($F$4,'RIO - M7'!$A$17:$AB$52,10)</f>
        <v>C</v>
      </c>
      <c r="U4" s="231">
        <f>VLOOKUP($F$4,'RIO - M7'!$A$17:$AB$52,11)</f>
        <v>2.4</v>
      </c>
      <c r="V4" s="230">
        <v>1</v>
      </c>
    </row>
    <row r="5" spans="1:22" x14ac:dyDescent="0.2">
      <c r="A5" s="37">
        <f>BEGINBLAD!A8</f>
        <v>3</v>
      </c>
      <c r="B5" s="38" t="str">
        <f>BEGINBLAD!B8</f>
        <v>leerling 3</v>
      </c>
    </row>
    <row r="6" spans="1:22" ht="15" x14ac:dyDescent="0.3">
      <c r="A6" s="37">
        <f>BEGINBLAD!A9</f>
        <v>4</v>
      </c>
      <c r="B6" s="38">
        <f>BEGINBLAD!B9</f>
        <v>0</v>
      </c>
      <c r="S6" s="239" t="s">
        <v>8</v>
      </c>
      <c r="T6" s="246" t="str">
        <f>VLOOKUP($F$4,'RIO - M7'!$A$17:$AB$52,15)</f>
        <v>C</v>
      </c>
      <c r="U6" s="240">
        <f>VLOOKUP($F$4,'RIO - M7'!$A$17:$AB$52,16)</f>
        <v>2.4</v>
      </c>
      <c r="V6" s="241">
        <f>VLOOKUP($F$4,'RIO - M7'!$A$17:$AB$52,17)</f>
        <v>1</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t="str">
        <f>VLOOKUP($F$4,'RIO - M7'!$A$17:$AB$52,18)</f>
        <v>B</v>
      </c>
      <c r="U8" s="227">
        <f>VLOOKUP($F$4,'RIO - M7'!$A$17:$AB$52,19)</f>
        <v>3</v>
      </c>
      <c r="V8" s="225">
        <f>VLOOKUP($F$4,'RIO - M7'!$A$17:$AB$52,20)</f>
        <v>1.25</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f>VLOOKUP($F$4,'RIO - M7'!$A$17:$AB$52,17)</f>
        <v>1</v>
      </c>
      <c r="G10" s="219">
        <f>VLOOKUP($F$4,'RIO - M7'!$A$17:$AB$52,20)</f>
        <v>1.25</v>
      </c>
      <c r="H10" s="219">
        <f>VLOOKUP($F$4,'RIO - M7'!$A$17:$AB$52,23)</f>
        <v>0.79166666666666663</v>
      </c>
      <c r="I10" s="219">
        <f>VLOOKUP($F$4,'RIO - M7'!$A$17:$AB$52,26)</f>
        <v>1.1250000000000002</v>
      </c>
      <c r="J10" s="219">
        <f>VLOOKUP($F$4,'RIO - M7'!$A$17:$AC$52,29)</f>
        <v>1.3333333333333335</v>
      </c>
      <c r="K10" s="219" t="str">
        <f>VLOOKUP($F$4,'RIO - M7'!$A$17:$AB$52,10)</f>
        <v>C</v>
      </c>
      <c r="L10" s="32"/>
      <c r="M10" s="32"/>
      <c r="S10" s="221" t="s">
        <v>10</v>
      </c>
      <c r="T10" s="247" t="str">
        <f>VLOOKUP($F$4,'RIO - M7'!$A$17:$AB$52,21)</f>
        <v>D</v>
      </c>
      <c r="U10" s="227">
        <f>VLOOKUP($F$4,'RIO - M7'!$A$17:$AB$52,22)</f>
        <v>1.9</v>
      </c>
      <c r="V10" s="225">
        <f>VLOOKUP($F$4,'RIO - M7'!$A$17:$AB$52,23)</f>
        <v>0.79166666666666663</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f>F10*L12</f>
        <v>0.6</v>
      </c>
      <c r="G12" s="218">
        <f>G10*L12</f>
        <v>0.75</v>
      </c>
      <c r="H12" s="218">
        <f>H10*L12</f>
        <v>0.47499999999999998</v>
      </c>
      <c r="I12" s="218">
        <f>I10*L12</f>
        <v>0.67500000000000016</v>
      </c>
      <c r="J12" s="218">
        <f>J10*L12</f>
        <v>0.8</v>
      </c>
      <c r="K12" s="218">
        <f>0.8*L12</f>
        <v>0.48</v>
      </c>
      <c r="L12" s="218">
        <f>IF(K10="A",1,IF(K10="B",0.8,IF(K10="C",0.6,IF(K10="D",0.4,IF(K10="E",0.2)))))</f>
        <v>0.6</v>
      </c>
      <c r="S12" s="221" t="s">
        <v>11</v>
      </c>
      <c r="T12" s="247" t="str">
        <f>VLOOKUP($F$4,'RIO - M7'!$A$17:$AB$52,24)</f>
        <v>C</v>
      </c>
      <c r="U12" s="227">
        <f>VLOOKUP($F$4,'RIO - M7'!$A$17:$AB$52,25)</f>
        <v>2.7</v>
      </c>
      <c r="V12" s="225">
        <f>VLOOKUP($F$4,'RIO - M7'!$A$17:$AB$52,26)</f>
        <v>1.1250000000000002</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t="str">
        <f>VLOOKUP($F$4,'RIO - M7'!$A$17:$AC$52,27)</f>
        <v>B</v>
      </c>
      <c r="U14" s="229">
        <f>VLOOKUP($F$4,'RIO - M7'!$A$17:$AC$52,28)</f>
        <v>3.2</v>
      </c>
      <c r="V14" s="226">
        <f>VLOOKUP($F$4,'RIO - M7'!$A$17:$AC$52,29)</f>
        <v>1.3333333333333335</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C</v>
      </c>
      <c r="U16" s="234">
        <f>AVERAGE(U6:U14)</f>
        <v>2.6399999999999997</v>
      </c>
      <c r="V16" s="235">
        <f>VLOOKUP($F$4,'RIO - M7'!$A$17:$AC$52,14)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f>(U4/8)*10</f>
        <v>3</v>
      </c>
    </row>
    <row r="20" spans="1:21" x14ac:dyDescent="0.2">
      <c r="A20" s="37">
        <f>BEGINBLAD!A23</f>
        <v>18</v>
      </c>
      <c r="B20" s="38">
        <f>BEGINBLAD!B23</f>
        <v>0</v>
      </c>
      <c r="U20" s="5">
        <f>U4*0.8</f>
        <v>1.92</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sWdf4F6062VLgVTlJYbWXiQhv7msI46/hfLjnQwUbB1U0Hu2zOK1BGwjgvGqhl+3m/HUdxJhqPzmeklVmqSuzg==" saltValue="69eLTjpnjJSVmSNfPLcwyw==" spinCount="100000" sheet="1" objects="1" scenarios="1"/>
  <mergeCells count="5">
    <mergeCell ref="D4:E4"/>
    <mergeCell ref="D2:E2"/>
    <mergeCell ref="G2:N2"/>
    <mergeCell ref="G4:H4"/>
    <mergeCell ref="I4:N4"/>
  </mergeCells>
  <phoneticPr fontId="3" type="noConversion"/>
  <conditionalFormatting sqref="V6:V14">
    <cfRule type="cellIs" dxfId="269" priority="1" stopIfTrue="1" operator="between">
      <formula>0.001</formula>
      <formula>0.8</formula>
    </cfRule>
    <cfRule type="cellIs" dxfId="268" priority="2" stopIfTrue="1" operator="greaterThanOrEqual">
      <formula>1.3</formula>
    </cfRule>
    <cfRule type="cellIs" dxfId="267" priority="3" stopIfTrue="1" operator="greaterThanOrEqual">
      <formula>1</formula>
    </cfRule>
  </conditionalFormatting>
  <conditionalFormatting sqref="V16">
    <cfRule type="cellIs" dxfId="266" priority="4" stopIfTrue="1" operator="equal">
      <formula>0</formula>
    </cfRule>
  </conditionalFormatting>
  <conditionalFormatting sqref="T6">
    <cfRule type="expression" dxfId="265" priority="5" stopIfTrue="1">
      <formula>$V$6&gt;=1.3</formula>
    </cfRule>
    <cfRule type="expression" dxfId="264" priority="6" stopIfTrue="1">
      <formula>$V$6&lt;0.8</formula>
    </cfRule>
    <cfRule type="expression" dxfId="263" priority="7" stopIfTrue="1">
      <formula>$V$6&lt;1</formula>
    </cfRule>
  </conditionalFormatting>
  <conditionalFormatting sqref="T8">
    <cfRule type="expression" dxfId="262" priority="8" stopIfTrue="1">
      <formula>$V$8&gt;=1.3</formula>
    </cfRule>
    <cfRule type="expression" dxfId="261" priority="9" stopIfTrue="1">
      <formula>$V$8&lt;0.8</formula>
    </cfRule>
    <cfRule type="expression" dxfId="260" priority="10" stopIfTrue="1">
      <formula>$V$8&lt;1</formula>
    </cfRule>
  </conditionalFormatting>
  <conditionalFormatting sqref="T10">
    <cfRule type="expression" dxfId="259" priority="11" stopIfTrue="1">
      <formula>$V$10&gt;=1.3</formula>
    </cfRule>
    <cfRule type="expression" dxfId="258" priority="12" stopIfTrue="1">
      <formula>$V$10&lt;0.8</formula>
    </cfRule>
    <cfRule type="expression" dxfId="257" priority="13" stopIfTrue="1">
      <formula>$V$10&lt;1</formula>
    </cfRule>
  </conditionalFormatting>
  <conditionalFormatting sqref="T12">
    <cfRule type="expression" dxfId="256" priority="14" stopIfTrue="1">
      <formula>$V$12&gt;=1.3</formula>
    </cfRule>
    <cfRule type="expression" dxfId="255" priority="15" stopIfTrue="1">
      <formula>$V$12&lt;0.8</formula>
    </cfRule>
    <cfRule type="expression" dxfId="254" priority="16" stopIfTrue="1">
      <formula>$V$12&lt;1</formula>
    </cfRule>
  </conditionalFormatting>
  <conditionalFormatting sqref="T14">
    <cfRule type="expression" dxfId="253" priority="17" stopIfTrue="1">
      <formula>$V$14&gt;=1.3</formula>
    </cfRule>
    <cfRule type="expression" dxfId="252" priority="18" stopIfTrue="1">
      <formula>$V$14&lt;0.8</formula>
    </cfRule>
    <cfRule type="expression" dxfId="251" priority="19" stopIfTrue="1">
      <formula>$V$14&lt;1</formula>
    </cfRule>
  </conditionalFormatting>
  <conditionalFormatting sqref="T16">
    <cfRule type="expression" dxfId="250" priority="20" stopIfTrue="1">
      <formula>$U$16&gt;=$U$19</formula>
    </cfRule>
    <cfRule type="expression" dxfId="249" priority="21" stopIfTrue="1">
      <formula>$U$16&lt;$U$20</formula>
    </cfRule>
    <cfRule type="expression" dxfId="248" priority="22" stopIfTrue="1">
      <formula>$T$16&lt;$U$4</formula>
    </cfRule>
  </conditionalFormatting>
  <pageMargins left="0.41" right="0.25" top="1" bottom="1" header="0.5" footer="0.5"/>
  <pageSetup paperSize="9" scale="68" orientation="landscape" horizontalDpi="4294967293" verticalDpi="0" r:id="rId1"/>
  <headerFooter alignWithMargins="0">
    <oddHeader>&amp;C&amp;14Ontwikkelings Perspectief (OP)</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7</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t="str">
        <f>BEGINBLAD!B6</f>
        <v>leerling 1</v>
      </c>
      <c r="D6" s="152">
        <v>2.9</v>
      </c>
      <c r="E6" s="153">
        <v>2.2000000000000002</v>
      </c>
      <c r="F6" s="153">
        <v>2.5</v>
      </c>
      <c r="G6" s="153">
        <v>1.5</v>
      </c>
      <c r="H6" s="153">
        <v>0.8</v>
      </c>
      <c r="I6" s="162">
        <v>4.3</v>
      </c>
      <c r="J6" s="43">
        <f t="shared" ref="J6:J41" si="0">SUM(D6:I6)</f>
        <v>14.2</v>
      </c>
      <c r="K6" s="166">
        <f t="shared" ref="K6:K41" si="1">COUNTA(D6:I6)</f>
        <v>6</v>
      </c>
      <c r="L6" s="165"/>
      <c r="M6" s="156">
        <f t="shared" ref="M6:M41" si="2">IF(K6=0,"",IF(K6&gt;0,J6/K6))</f>
        <v>2.3666666666666667</v>
      </c>
      <c r="N6" s="157" t="str">
        <f t="shared" ref="N6:N41" si="3">IF(M6="","",IF(M6&gt;=4.5,"A+",IF(M6&gt;=4,"A",IF(M6&gt;=3,"B",IF(M6&gt;2.3,"C",IF(M6&gt;=2,"C-",IF(M6&gt;=1,"D",IF(M6&gt;0,"E"))))))))</f>
        <v>C</v>
      </c>
      <c r="O6" s="24"/>
      <c r="P6" s="20"/>
    </row>
    <row r="7" spans="2:16" ht="19.5" customHeight="1" x14ac:dyDescent="0.2">
      <c r="B7" s="39">
        <v>2</v>
      </c>
      <c r="C7" s="27" t="str">
        <f>BEGINBLAD!B7</f>
        <v>leerling 2</v>
      </c>
      <c r="D7" s="152"/>
      <c r="E7" s="153"/>
      <c r="F7" s="153"/>
      <c r="G7" s="153"/>
      <c r="H7" s="153"/>
      <c r="I7" s="162"/>
      <c r="J7" s="43">
        <f t="shared" si="0"/>
        <v>0</v>
      </c>
      <c r="K7" s="166">
        <f t="shared" si="1"/>
        <v>0</v>
      </c>
      <c r="L7" s="165"/>
      <c r="M7" s="156" t="str">
        <f t="shared" si="2"/>
        <v/>
      </c>
      <c r="N7" s="157" t="str">
        <f t="shared" si="3"/>
        <v/>
      </c>
      <c r="O7" s="19"/>
      <c r="P7" s="20"/>
    </row>
    <row r="8" spans="2:16" s="10" customFormat="1" ht="19.5" customHeight="1" x14ac:dyDescent="0.2">
      <c r="B8" s="39">
        <v>3</v>
      </c>
      <c r="C8" s="27" t="str">
        <f>BEGINBLAD!B8</f>
        <v>leerling 3</v>
      </c>
      <c r="D8" s="152"/>
      <c r="E8" s="153"/>
      <c r="F8" s="153"/>
      <c r="G8" s="153"/>
      <c r="H8" s="153"/>
      <c r="I8" s="162"/>
      <c r="J8" s="43">
        <f t="shared" si="0"/>
        <v>0</v>
      </c>
      <c r="K8" s="166">
        <f t="shared" si="1"/>
        <v>0</v>
      </c>
      <c r="L8" s="165"/>
      <c r="M8" s="156" t="str">
        <f t="shared" si="2"/>
        <v/>
      </c>
      <c r="N8" s="157" t="str">
        <f t="shared" si="3"/>
        <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f t="shared" ref="D42:K42" si="4">AVERAGE(D6:D41)</f>
        <v>2.9</v>
      </c>
      <c r="E42" s="169">
        <f t="shared" si="4"/>
        <v>2.2000000000000002</v>
      </c>
      <c r="F42" s="169">
        <f t="shared" si="4"/>
        <v>2.5</v>
      </c>
      <c r="G42" s="169">
        <f t="shared" si="4"/>
        <v>1.5</v>
      </c>
      <c r="H42" s="169">
        <f t="shared" si="4"/>
        <v>0.8</v>
      </c>
      <c r="I42" s="169">
        <f t="shared" si="4"/>
        <v>4.3</v>
      </c>
      <c r="J42" s="169">
        <f t="shared" si="4"/>
        <v>0.39444444444444443</v>
      </c>
      <c r="K42" s="169">
        <f t="shared" si="4"/>
        <v>0.16666666666666666</v>
      </c>
      <c r="L42" s="170"/>
      <c r="M42" s="169">
        <f>AVERAGE(M6:M41)</f>
        <v>2.3666666666666667</v>
      </c>
    </row>
    <row r="43" spans="2:16" ht="19.5" customHeight="1" x14ac:dyDescent="0.2">
      <c r="C43" s="168" t="s">
        <v>91</v>
      </c>
      <c r="D43" s="171" t="str">
        <f t="shared" ref="D43:M43" si="5">IF(D42="","",IF(D42&gt;=4.5,"A+",IF(D42&gt;=4,"A",IF(D42&gt;=3,"B",IF(D42&gt;2.3,"C",IF(D42&gt;=2,"C-",IF(D42&gt;=1,"D",IF(D42&gt;0,"E"))))))))</f>
        <v>C</v>
      </c>
      <c r="E43" s="171" t="str">
        <f t="shared" si="5"/>
        <v>C-</v>
      </c>
      <c r="F43" s="171" t="str">
        <f t="shared" si="5"/>
        <v>C</v>
      </c>
      <c r="G43" s="171" t="str">
        <f t="shared" si="5"/>
        <v>D</v>
      </c>
      <c r="H43" s="171" t="str">
        <f t="shared" si="5"/>
        <v>E</v>
      </c>
      <c r="I43" s="171" t="str">
        <f t="shared" si="5"/>
        <v>A</v>
      </c>
      <c r="J43" s="171" t="str">
        <f t="shared" si="5"/>
        <v>E</v>
      </c>
      <c r="K43" s="171" t="str">
        <f t="shared" si="5"/>
        <v>E</v>
      </c>
      <c r="L43" s="172" t="str">
        <f t="shared" si="5"/>
        <v/>
      </c>
      <c r="M43" s="171" t="str">
        <f t="shared" si="5"/>
        <v>C</v>
      </c>
    </row>
    <row r="44" spans="2:16" x14ac:dyDescent="0.2">
      <c r="C44" s="11">
        <f>BEGINBLAD!$B$42</f>
        <v>3</v>
      </c>
    </row>
  </sheetData>
  <sheetProtection algorithmName="SHA-512" hashValue="0CG99+WucE3DojKhcTA6NtTXcSkSR6rQsQQcbD5NEz26eqz+i1L2nVLv2zfarJLkXaoprniaoL+c0+wsPNr+nw==" saltValue="4OKVx0HblMJqpohhVfYKuQ==" spinCount="100000" sheet="1"/>
  <mergeCells count="5">
    <mergeCell ref="B2:C2"/>
    <mergeCell ref="E2:F2"/>
    <mergeCell ref="M2:N2"/>
    <mergeCell ref="G2:H2"/>
    <mergeCell ref="I2:L2"/>
  </mergeCells>
  <phoneticPr fontId="3" type="noConversion"/>
  <conditionalFormatting sqref="C6:C41">
    <cfRule type="expression" dxfId="247" priority="1" stopIfTrue="1">
      <formula>$N6=""</formula>
    </cfRule>
    <cfRule type="expression" dxfId="246" priority="2" stopIfTrue="1">
      <formula>$N6="A+"</formula>
    </cfRule>
  </conditionalFormatting>
  <conditionalFormatting sqref="N6:N41 D43:M43">
    <cfRule type="cellIs" dxfId="245" priority="3" stopIfTrue="1" operator="between">
      <formula>"D"</formula>
      <formula>"E"</formula>
    </cfRule>
    <cfRule type="cellIs" dxfId="244" priority="4" stopIfTrue="1" operator="between">
      <formula>"B"</formula>
      <formula>"B+"</formula>
    </cfRule>
    <cfRule type="cellIs" dxfId="243" priority="5" stopIfTrue="1" operator="between">
      <formula>"A"</formula>
      <formula>"A+"</formula>
    </cfRule>
  </conditionalFormatting>
  <conditionalFormatting sqref="D6:I41">
    <cfRule type="cellIs" dxfId="242" priority="6" stopIfTrue="1" operator="between">
      <formula>0.1</formula>
      <formula>1.9</formula>
    </cfRule>
    <cfRule type="cellIs" dxfId="241" priority="7" stopIfTrue="1" operator="between">
      <formula>3</formula>
      <formula>3.9</formula>
    </cfRule>
    <cfRule type="cellIs" dxfId="240" priority="8" stopIfTrue="1" operator="between">
      <formula>4</formula>
      <formula>5</formula>
    </cfRule>
  </conditionalFormatting>
  <conditionalFormatting sqref="M6:M41 D42:M42">
    <cfRule type="cellIs" dxfId="239" priority="9" stopIfTrue="1" operator="between">
      <formula>0.001</formula>
      <formula>1.999</formula>
    </cfRule>
    <cfRule type="cellIs" dxfId="238" priority="10" stopIfTrue="1" operator="between">
      <formula>3</formula>
      <formula>3.999</formula>
    </cfRule>
    <cfRule type="cellIs" dxfId="237"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sheetPr>
  <dimension ref="A1:BG72"/>
  <sheetViews>
    <sheetView showGridLines="0" showRowColHeaders="0" zoomScale="85" zoomScaleNormal="85" workbookViewId="0">
      <selection activeCell="W28" sqref="W28"/>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29">
        <f>'NW - E7'!$D$2</f>
        <v>7</v>
      </c>
      <c r="K1" s="331"/>
      <c r="L1" s="244"/>
      <c r="M1" s="32"/>
      <c r="N1" s="323" t="s">
        <v>23</v>
      </c>
      <c r="O1" s="323"/>
      <c r="P1" s="214"/>
      <c r="Q1" s="214"/>
      <c r="U1" s="5" t="b">
        <f>IF($J$1=3,"ja",IF($J$1="3A","ja",IF($J$1="3B","ja",IF($J$1="3C","ja"))))</f>
        <v>0</v>
      </c>
      <c r="X1" s="5" t="b">
        <f>IF($J$1=4,"ja",IF($J$1="4A","ja",IF($J$1="4B","ja",IF($J$1="4C","ja"))))</f>
        <v>0</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0"/>
      <c r="K2" s="322"/>
      <c r="L2" s="245"/>
      <c r="M2" s="32"/>
      <c r="N2" s="324" t="s">
        <v>30</v>
      </c>
      <c r="O2" s="324"/>
      <c r="P2" s="215"/>
      <c r="Q2" s="215"/>
      <c r="R2" s="3"/>
      <c r="S2" s="3"/>
      <c r="T2" s="3"/>
      <c r="U2" s="5" t="str">
        <f>IF($J$1=7,"ja",IF($J$1="7A","ja",IF($J$1="7B","ja",IF($J$1="7C","ja"))))</f>
        <v>ja</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25"/>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7"/>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4" t="s">
        <v>35</v>
      </c>
      <c r="P9" s="345"/>
      <c r="Q9" s="345"/>
      <c r="R9" s="345"/>
      <c r="S9" s="345"/>
      <c r="T9" s="345"/>
      <c r="U9" s="345"/>
      <c r="V9" s="345"/>
      <c r="W9" s="346"/>
      <c r="X9" s="344" t="s">
        <v>36</v>
      </c>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199"/>
      <c r="AW9" s="328" t="s">
        <v>113</v>
      </c>
      <c r="AX9" s="328"/>
      <c r="AY9" s="328"/>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t="str">
        <f>BEGINBLAD!B6</f>
        <v>leerling 1</v>
      </c>
      <c r="C17" s="110" t="str">
        <f>IF('RIO - M7'!C17="","",IF('RIO - M7'!C17&gt;"",'RIO - M7'!C17))</f>
        <v>C</v>
      </c>
      <c r="D17" s="149" t="str">
        <f>IF('NW - E7'!N6="","",IF('NW - E7'!N6="A+","A",IF('NW - E7'!N6="A","A",IF('NW - E7'!N6="B","B",IF('NW - E7'!N6="C","C",IF('NW - E7'!N6="C-","C",IF('NW - E7'!N6="D","D",IF('NW - E7'!N6="E","E"))))))))</f>
        <v>C</v>
      </c>
      <c r="E17" s="110"/>
      <c r="F17" s="192">
        <f t="shared" ref="F17:F52" si="0">IF(C17="","",IF(C17="A",5,IF(C17="B",4,IF(C17="C",3,IF(C17="D",2,IF(C17="E",1))))))</f>
        <v>3</v>
      </c>
      <c r="G17" s="192">
        <f t="shared" ref="G17:G52" si="1">IF(D17="","",IF(D17="A",5,IF(D17="B",4,IF(D17="C",3,IF(D17="D",2,IF(D17="E",1))))))</f>
        <v>3</v>
      </c>
      <c r="H17" s="191" t="str">
        <f t="shared" ref="H17:H52" si="2">IF(E17="","",IF(E17="A",5,IF(E17="B",4,IF(E17="C",3,IF(E17="D",2,IF(E17="E",1))))))</f>
        <v/>
      </c>
      <c r="I17" s="193">
        <f t="shared" ref="I17:I52" si="3">IF(F17="",H17,IF(H17="",F17,IF(F17&gt;H17,F17,IF(F17&lt;H17,H17,IF(F17=H17,F17)))))</f>
        <v>3</v>
      </c>
      <c r="J17" s="208" t="str">
        <f t="shared" ref="J17:J52" si="4">IF(I17="","",IF(I17=5,"A",IF(I17=4,"B",IF(I17=3,"C",IF(I17=2,"D",IF(I17=1,"E"))))))</f>
        <v>C</v>
      </c>
      <c r="K17" s="210">
        <f t="shared" ref="K17:K52" si="5">IF(I17="","",IF(I17=5,4,IF(I17=4,3.2,IF(I17=3,2.4,IF(I17=2,1.6,IF(I17=1,0.8))))))</f>
        <v>2.4</v>
      </c>
      <c r="L17" s="188"/>
      <c r="M17" s="104"/>
      <c r="N17" s="105"/>
      <c r="O17" s="250" t="str">
        <f t="shared" ref="O17:O52" si="6">IF(P17=0,0,IF(P17&gt;=4,"A",IF(P17&gt;=3,"B",IF(P17&gt;2.3,"C",IF(P17&gt;=1,"D",IF(P17&gt;0,"E"))))))</f>
        <v>C</v>
      </c>
      <c r="P17" s="249">
        <f>IF('NW - E7'!D6=0,0,IF('NW - E7'!D6&gt;=0,'NW - E7'!D6))</f>
        <v>2.9</v>
      </c>
      <c r="Q17" s="206">
        <f t="shared" ref="Q17:Q52" si="7">IF(K17="","",IF(P17=0,"",IF(P17&gt;0,P17/K17)))</f>
        <v>1.2083333333333333</v>
      </c>
      <c r="R17" s="250" t="str">
        <f t="shared" ref="R17:R52" si="8">IF(S17=0,0,IF(S17&gt;=4,"A",IF(S17&gt;=3,"B",IF(S17&gt;2.3,"C",IF(S17&gt;=1,"D",IF(S17&gt;0,"E"))))))</f>
        <v>C</v>
      </c>
      <c r="S17" s="249">
        <f>IF('NW - E7'!F6=0,0,IF('NW - E7'!F6&gt;=0,'NW - E7'!F6))</f>
        <v>2.5</v>
      </c>
      <c r="T17" s="206">
        <f t="shared" ref="T17:T52" si="9">IF(K17="","",IF(S17=0,"",IF(S17&gt;0,S17/K17)))</f>
        <v>1.0416666666666667</v>
      </c>
      <c r="U17" s="250" t="str">
        <f t="shared" ref="U17:U52" si="10">IF(V17=0,0,IF(V17&gt;=4,"A",IF(V17&gt;=3,"B",IF(V17&gt;2.3,"C",IF(V17&gt;=1,"D",IF(V17&gt;0,"E"))))))</f>
        <v>D</v>
      </c>
      <c r="V17" s="249">
        <f>IF('NW - E7'!E6=0,0,IF('NW - E7'!E6&gt;=0,'NW - E7'!E6))</f>
        <v>2.2000000000000002</v>
      </c>
      <c r="W17" s="206">
        <f t="shared" ref="W17:W52" si="11">IF(K17="","",IF(V17=0,"",IF(V17&gt;0,V17/K17)))</f>
        <v>0.91666666666666674</v>
      </c>
      <c r="X17" s="250" t="str">
        <f t="shared" ref="X17:X52" si="12">IF(Y17=0,0,IF(Y17&gt;=4,"A",IF(Y17&gt;=3,"B",IF(Y17&gt;2.3,"C",IF(Y17&gt;=1,"D",IF(Y17&gt;0,"E"))))))</f>
        <v>A</v>
      </c>
      <c r="Y17" s="249">
        <f>IF('NW - E7'!I6=0,0,IF('NW - E7'!I6&gt;=0,'NW - E7'!I6))</f>
        <v>4.3</v>
      </c>
      <c r="Z17" s="206">
        <f t="shared" ref="Z17:Z52" si="13">IF(K17="","",IF(Y17=0,"",IF(Y17&gt;0,Y17/K17)))</f>
        <v>1.7916666666666667</v>
      </c>
      <c r="AA17" s="250" t="str">
        <f t="shared" ref="AA17:AA52" si="14">IF(AB17=0,0,IF(AB17&gt;=4,"A",IF(AB17&gt;=3,"B",IF(AB17&gt;2.3,"C",IF(AB17&gt;=1,"D",IF(AB17&gt;0,"E"))))))</f>
        <v>E</v>
      </c>
      <c r="AB17" s="249">
        <f>IF('NW - E7'!H6=0,0,IF('NW - E7'!H6&gt;=0,'NW - E7'!H6))</f>
        <v>0.8</v>
      </c>
      <c r="AC17" s="206">
        <f t="shared" ref="AC17:AC52" si="15">IF(K17="","",IF(AB17=0,"",IF(AB17&gt;0,AB17/K17)))</f>
        <v>0.33333333333333337</v>
      </c>
      <c r="AD17" s="1">
        <f>IF($J17="","",IF(O17=0,"",IF(Q17&lt;0.8,"",IF(Q17&gt;=0.8,1))))</f>
        <v>1</v>
      </c>
      <c r="AE17" s="1">
        <f t="shared" ref="AE17:AE52" si="16">IF($J17="","",IF(R17=0,"",IF(T17&lt;0.8,"",IF(T17&gt;=0.8,1))))</f>
        <v>1</v>
      </c>
      <c r="AF17" s="1">
        <f t="shared" ref="AF17:AF52" si="17">IF($J17="","",IF(U17=0,"",IF(W17&lt;0.8,"",IF(W17&gt;=0.8,1))))</f>
        <v>1</v>
      </c>
      <c r="AG17" s="1">
        <f t="shared" ref="AG17:AG52" si="18">IF($J17="","",IF(X17=0,"",IF(Z17&lt;0.8,"",IF(Z17&gt;=0.8,1))))</f>
        <v>1</v>
      </c>
      <c r="AH17" s="1" t="str">
        <f t="shared" ref="AH17:AH52" si="19">IF($J17="","",IF(AA17=0,"",IF(AC17&lt;0.8,"",IF(AC17&gt;=0.8,1))))</f>
        <v/>
      </c>
      <c r="AI17" s="1">
        <f t="shared" ref="AI17:AI52" si="20">SUM(AD17:AH17)</f>
        <v>4</v>
      </c>
      <c r="AJ17" s="106" t="b">
        <f t="shared" ref="AJ17:AJ52" si="21">IF($J17="A",$AV17)</f>
        <v>0</v>
      </c>
      <c r="AK17" s="106" t="b">
        <f t="shared" ref="AK17:AK52" si="22">IF($J17="B",$AV17)</f>
        <v>0</v>
      </c>
      <c r="AL17" s="106">
        <f t="shared" ref="AL17:AL52" si="23">IF($J17="C",$AV17)</f>
        <v>0.8</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f>IF(J17="","",IF(J17&gt;0,COUNT(O17+R17+U17+X17+AA17)))</f>
        <v>0</v>
      </c>
      <c r="AU17" s="198">
        <f t="shared" ref="AU17:AU52" si="30">5-AT17</f>
        <v>5</v>
      </c>
      <c r="AV17" s="204">
        <f t="shared" ref="AV17:AV52" si="31">IF(AT17="","",IF(AU17=0,"",IF(AU17&gt;0,AI17/AU17)))</f>
        <v>0.8</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t="str">
        <f>BEGINBLAD!B7</f>
        <v>leerling 2</v>
      </c>
      <c r="C18" s="110" t="s">
        <v>3</v>
      </c>
      <c r="D18" s="149" t="str">
        <f>IF('NW - E7'!N7="","",IF('NW - E7'!N7="A+","A",IF('NW - E7'!N7="A","A",IF('NW - E7'!N7="B","B",IF('NW - E7'!N7="C","C",IF('NW - E7'!N7="C-","C",IF('NW - E7'!N7="D","D",IF('NW - E7'!N7="E","E"))))))))</f>
        <v/>
      </c>
      <c r="E18" s="110"/>
      <c r="F18" s="192">
        <f t="shared" si="0"/>
        <v>2</v>
      </c>
      <c r="G18" s="192" t="str">
        <f t="shared" si="1"/>
        <v/>
      </c>
      <c r="H18" s="191" t="str">
        <f t="shared" si="2"/>
        <v/>
      </c>
      <c r="I18" s="193">
        <f t="shared" si="3"/>
        <v>2</v>
      </c>
      <c r="J18" s="208" t="str">
        <f t="shared" si="4"/>
        <v>D</v>
      </c>
      <c r="K18" s="210">
        <f t="shared" si="5"/>
        <v>1.6</v>
      </c>
      <c r="L18" s="189"/>
      <c r="M18" s="110"/>
      <c r="N18" s="117"/>
      <c r="O18" s="250">
        <f t="shared" si="6"/>
        <v>0</v>
      </c>
      <c r="P18" s="249">
        <f>IF('NW - E7'!D7=0,0,IF('NW - E7'!D7&gt;=0,'NW - E7'!D7))</f>
        <v>0</v>
      </c>
      <c r="Q18" s="206" t="str">
        <f t="shared" si="7"/>
        <v/>
      </c>
      <c r="R18" s="250">
        <f t="shared" si="8"/>
        <v>0</v>
      </c>
      <c r="S18" s="249">
        <f>IF('NW - E7'!F7=0,0,IF('NW - E7'!F7&gt;=0,'NW - E7'!F7))</f>
        <v>0</v>
      </c>
      <c r="T18" s="206" t="str">
        <f t="shared" si="9"/>
        <v/>
      </c>
      <c r="U18" s="250">
        <f t="shared" si="10"/>
        <v>0</v>
      </c>
      <c r="V18" s="249">
        <f>IF('NW - E7'!E7=0,0,IF('NW - E7'!E7&gt;=0,'NW - E7'!E7))</f>
        <v>0</v>
      </c>
      <c r="W18" s="206" t="str">
        <f t="shared" si="11"/>
        <v/>
      </c>
      <c r="X18" s="250">
        <f t="shared" si="12"/>
        <v>0</v>
      </c>
      <c r="Y18" s="249">
        <f>IF('NW - E7'!I7=0,0,IF('NW - E7'!I7&gt;=0,'NW - E7'!I7))</f>
        <v>0</v>
      </c>
      <c r="Z18" s="206" t="str">
        <f t="shared" si="13"/>
        <v/>
      </c>
      <c r="AA18" s="250">
        <f t="shared" si="14"/>
        <v>0</v>
      </c>
      <c r="AB18" s="249">
        <f>IF('NW - E7'!H7=0,0,IF('NW - E7'!H7&gt;=0,'NW - E7'!H7))</f>
        <v>0</v>
      </c>
      <c r="AC18" s="206" t="str">
        <f t="shared" si="15"/>
        <v/>
      </c>
      <c r="AD18" s="1" t="str">
        <f t="shared" ref="AD18:AD52" si="39">IF(J18="","",IF(O18=0,"",IF(Q18&lt;0.8,"",IF(Q18&gt;=0.8,1))))</f>
        <v/>
      </c>
      <c r="AE18" s="1" t="str">
        <f t="shared" si="16"/>
        <v/>
      </c>
      <c r="AF18" s="1" t="str">
        <f t="shared" si="17"/>
        <v/>
      </c>
      <c r="AG18" s="1" t="str">
        <f t="shared" si="18"/>
        <v/>
      </c>
      <c r="AH18" s="1" t="str">
        <f t="shared" si="19"/>
        <v/>
      </c>
      <c r="AI18" s="1">
        <f t="shared" si="20"/>
        <v>0</v>
      </c>
      <c r="AJ18" s="106" t="b">
        <f t="shared" si="21"/>
        <v>0</v>
      </c>
      <c r="AK18" s="106" t="b">
        <f t="shared" si="22"/>
        <v>0</v>
      </c>
      <c r="AL18" s="106" t="b">
        <f t="shared" si="23"/>
        <v>0</v>
      </c>
      <c r="AM18" s="106">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f t="shared" ref="AT18:AT52" si="41">IF(J18="","",IF(J18&gt;0,COUNT(O18+R18+U18+X18+AA18)))</f>
        <v>1</v>
      </c>
      <c r="AU18" s="198">
        <f t="shared" si="30"/>
        <v>4</v>
      </c>
      <c r="AV18" s="204">
        <f t="shared" si="31"/>
        <v>0</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t="str">
        <f>BEGINBLAD!B8</f>
        <v>leerling 3</v>
      </c>
      <c r="C19" s="110" t="str">
        <f>IF('RIO - M7'!C19="","",IF('RIO - M7'!C19&gt;"",'RIO - M7'!C19))</f>
        <v>C</v>
      </c>
      <c r="D19" s="149" t="str">
        <f>IF('NW - E7'!N8="","",IF('NW - E7'!N8="A+","A",IF('NW - E7'!N8="A","A",IF('NW - E7'!N8="B","B",IF('NW - E7'!N8="C","C",IF('NW - E7'!N8="C-","C",IF('NW - E7'!N8="D","D",IF('NW - E7'!N8="E","E"))))))))</f>
        <v/>
      </c>
      <c r="E19" s="110"/>
      <c r="F19" s="192">
        <f t="shared" si="0"/>
        <v>3</v>
      </c>
      <c r="G19" s="192" t="str">
        <f t="shared" si="1"/>
        <v/>
      </c>
      <c r="H19" s="191" t="str">
        <f t="shared" si="2"/>
        <v/>
      </c>
      <c r="I19" s="193">
        <f t="shared" si="3"/>
        <v>3</v>
      </c>
      <c r="J19" s="208" t="str">
        <f t="shared" si="4"/>
        <v>C</v>
      </c>
      <c r="K19" s="210">
        <f t="shared" si="5"/>
        <v>2.4</v>
      </c>
      <c r="L19" s="189"/>
      <c r="M19" s="110"/>
      <c r="N19" s="117"/>
      <c r="O19" s="250">
        <f t="shared" si="6"/>
        <v>0</v>
      </c>
      <c r="P19" s="249">
        <f>IF('NW - E7'!D8=0,0,IF('NW - E7'!D8&gt;=0,'NW - E7'!D8))</f>
        <v>0</v>
      </c>
      <c r="Q19" s="206" t="str">
        <f t="shared" si="7"/>
        <v/>
      </c>
      <c r="R19" s="250">
        <f t="shared" si="8"/>
        <v>0</v>
      </c>
      <c r="S19" s="249">
        <f>IF('NW - E7'!F8=0,0,IF('NW - E7'!F8&gt;=0,'NW - E7'!F8))</f>
        <v>0</v>
      </c>
      <c r="T19" s="206" t="str">
        <f t="shared" si="9"/>
        <v/>
      </c>
      <c r="U19" s="250">
        <f t="shared" si="10"/>
        <v>0</v>
      </c>
      <c r="V19" s="249">
        <f>IF('NW - E7'!E8=0,0,IF('NW - E7'!E8&gt;=0,'NW - E7'!E8))</f>
        <v>0</v>
      </c>
      <c r="W19" s="206" t="str">
        <f t="shared" si="11"/>
        <v/>
      </c>
      <c r="X19" s="250">
        <f t="shared" si="12"/>
        <v>0</v>
      </c>
      <c r="Y19" s="249">
        <f>IF('NW - E7'!I8=0,0,IF('NW - E7'!I8&gt;=0,'NW - E7'!I8))</f>
        <v>0</v>
      </c>
      <c r="Z19" s="206" t="str">
        <f t="shared" si="13"/>
        <v/>
      </c>
      <c r="AA19" s="250">
        <f t="shared" si="14"/>
        <v>0</v>
      </c>
      <c r="AB19" s="249">
        <f>IF('NW - E7'!H8=0,0,IF('NW - E7'!H8&gt;=0,'NW - E7'!H8))</f>
        <v>0</v>
      </c>
      <c r="AC19" s="206" t="str">
        <f t="shared" si="15"/>
        <v/>
      </c>
      <c r="AD19" s="1" t="str">
        <f t="shared" si="39"/>
        <v/>
      </c>
      <c r="AE19" s="1" t="str">
        <f t="shared" si="16"/>
        <v/>
      </c>
      <c r="AF19" s="1" t="str">
        <f t="shared" si="17"/>
        <v/>
      </c>
      <c r="AG19" s="1" t="str">
        <f t="shared" si="18"/>
        <v/>
      </c>
      <c r="AH19" s="1" t="str">
        <f t="shared" si="19"/>
        <v/>
      </c>
      <c r="AI19" s="1">
        <f t="shared" si="20"/>
        <v>0</v>
      </c>
      <c r="AJ19" s="106" t="b">
        <f t="shared" si="21"/>
        <v>0</v>
      </c>
      <c r="AK19" s="106" t="b">
        <f t="shared" si="22"/>
        <v>0</v>
      </c>
      <c r="AL19" s="106">
        <f t="shared" si="23"/>
        <v>0</v>
      </c>
      <c r="AM19" s="106" t="b">
        <f t="shared" si="24"/>
        <v>0</v>
      </c>
      <c r="AN19" s="106" t="b">
        <f t="shared" si="25"/>
        <v>0</v>
      </c>
      <c r="AO19" s="106" t="b">
        <f t="shared" si="40"/>
        <v>0</v>
      </c>
      <c r="AP19" s="106" t="b">
        <f t="shared" si="26"/>
        <v>0</v>
      </c>
      <c r="AQ19" s="106" t="b">
        <f t="shared" si="27"/>
        <v>0</v>
      </c>
      <c r="AR19" s="106" t="b">
        <f t="shared" si="28"/>
        <v>0</v>
      </c>
      <c r="AS19" s="106" t="b">
        <f t="shared" si="29"/>
        <v>0</v>
      </c>
      <c r="AT19" s="148">
        <f t="shared" si="41"/>
        <v>1</v>
      </c>
      <c r="AU19" s="198">
        <f t="shared" si="30"/>
        <v>4</v>
      </c>
      <c r="AV19" s="204">
        <f t="shared" si="31"/>
        <v>0</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M7'!C20="","",IF('RIO - M7'!C20&gt;"",'RIO - M7'!C20))</f>
        <v/>
      </c>
      <c r="D20" s="149" t="str">
        <f>IF('NW - E7'!N9="","",IF('NW - E7'!N9="A+","A",IF('NW - E7'!N9="A","A",IF('NW - E7'!N9="B","B",IF('NW - E7'!N9="C","C",IF('NW - E7'!N9="C-","C",IF('NW - E7'!N9="D","D",IF('NW - E7'!N9="E","E"))))))))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E7'!D9=0,0,IF('NW - E7'!D9&gt;=0,'NW - E7'!D9))</f>
        <v>0</v>
      </c>
      <c r="Q20" s="206" t="str">
        <f t="shared" si="7"/>
        <v/>
      </c>
      <c r="R20" s="250">
        <f t="shared" si="8"/>
        <v>0</v>
      </c>
      <c r="S20" s="249">
        <f>IF('NW - E7'!F9=0,0,IF('NW - E7'!F9&gt;=0,'NW - E7'!F9))</f>
        <v>0</v>
      </c>
      <c r="T20" s="206" t="str">
        <f t="shared" si="9"/>
        <v/>
      </c>
      <c r="U20" s="250">
        <f t="shared" si="10"/>
        <v>0</v>
      </c>
      <c r="V20" s="249">
        <f>IF('NW - E7'!E9=0,0,IF('NW - E7'!E9&gt;=0,'NW - E7'!E9))</f>
        <v>0</v>
      </c>
      <c r="W20" s="206" t="str">
        <f t="shared" si="11"/>
        <v/>
      </c>
      <c r="X20" s="250">
        <f t="shared" si="12"/>
        <v>0</v>
      </c>
      <c r="Y20" s="249">
        <f>IF('NW - E7'!I9=0,0,IF('NW - E7'!I9&gt;=0,'NW - E7'!I9))</f>
        <v>0</v>
      </c>
      <c r="Z20" s="206" t="str">
        <f t="shared" si="13"/>
        <v/>
      </c>
      <c r="AA20" s="250">
        <f t="shared" si="14"/>
        <v>0</v>
      </c>
      <c r="AB20" s="249">
        <f>IF('NW - E7'!H9=0,0,IF('NW - E7'!H9&gt;=0,'NW - E7'!H9))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M7'!C21="","",IF('RIO - M7'!C21&gt;"",'RIO - M7'!C21))</f>
        <v/>
      </c>
      <c r="D21" s="149" t="str">
        <f>IF('NW - E7'!N10="","",IF('NW - E7'!N10="A+","A",IF('NW - E7'!N10="A","A",IF('NW - E7'!N10="B","B",IF('NW - E7'!N10="C","C",IF('NW - E7'!N10="C-","C",IF('NW - E7'!N10="D","D",IF('NW - E7'!N10="E","E"))))))))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E7'!D10=0,0,IF('NW - E7'!D10&gt;=0,'NW - E7'!D10))</f>
        <v>0</v>
      </c>
      <c r="Q21" s="206" t="str">
        <f t="shared" si="7"/>
        <v/>
      </c>
      <c r="R21" s="250">
        <f t="shared" si="8"/>
        <v>0</v>
      </c>
      <c r="S21" s="249">
        <f>IF('NW - E7'!F10=0,0,IF('NW - E7'!F10&gt;=0,'NW - E7'!F10))</f>
        <v>0</v>
      </c>
      <c r="T21" s="206" t="str">
        <f t="shared" si="9"/>
        <v/>
      </c>
      <c r="U21" s="250">
        <f t="shared" si="10"/>
        <v>0</v>
      </c>
      <c r="V21" s="249">
        <f>IF('NW - E7'!E10=0,0,IF('NW - E7'!E10&gt;=0,'NW - E7'!E10))</f>
        <v>0</v>
      </c>
      <c r="W21" s="206" t="str">
        <f t="shared" si="11"/>
        <v/>
      </c>
      <c r="X21" s="250">
        <f t="shared" si="12"/>
        <v>0</v>
      </c>
      <c r="Y21" s="249">
        <f>IF('NW - E7'!I10=0,0,IF('NW - E7'!I10&gt;=0,'NW - E7'!I10))</f>
        <v>0</v>
      </c>
      <c r="Z21" s="206" t="str">
        <f t="shared" si="13"/>
        <v/>
      </c>
      <c r="AA21" s="250">
        <f t="shared" si="14"/>
        <v>0</v>
      </c>
      <c r="AB21" s="249">
        <f>IF('NW - E7'!H10=0,0,IF('NW - E7'!H10&gt;=0,'NW - E7'!H10))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M7'!C22="","",IF('RIO - M7'!C22&gt;"",'RIO - M7'!C22))</f>
        <v/>
      </c>
      <c r="D22" s="149" t="str">
        <f>IF('NW - E7'!N11="","",IF('NW - E7'!N11="A+","A",IF('NW - E7'!N11="A","A",IF('NW - E7'!N11="B","B",IF('NW - E7'!N11="C","C",IF('NW - E7'!N11="C-","C",IF('NW - E7'!N11="D","D",IF('NW - E7'!N11="E","E"))))))))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E7'!D11=0,0,IF('NW - E7'!D11&gt;=0,'NW - E7'!D11))</f>
        <v>0</v>
      </c>
      <c r="Q22" s="206" t="str">
        <f t="shared" si="7"/>
        <v/>
      </c>
      <c r="R22" s="250">
        <f t="shared" si="8"/>
        <v>0</v>
      </c>
      <c r="S22" s="249">
        <f>IF('NW - E7'!F11=0,0,IF('NW - E7'!F11&gt;=0,'NW - E7'!F11))</f>
        <v>0</v>
      </c>
      <c r="T22" s="206" t="str">
        <f t="shared" si="9"/>
        <v/>
      </c>
      <c r="U22" s="250">
        <f t="shared" si="10"/>
        <v>0</v>
      </c>
      <c r="V22" s="249">
        <f>IF('NW - E7'!E11=0,0,IF('NW - E7'!E11&gt;=0,'NW - E7'!E11))</f>
        <v>0</v>
      </c>
      <c r="W22" s="206" t="str">
        <f t="shared" si="11"/>
        <v/>
      </c>
      <c r="X22" s="250">
        <f t="shared" si="12"/>
        <v>0</v>
      </c>
      <c r="Y22" s="249">
        <f>IF('NW - E7'!I11=0,0,IF('NW - E7'!I11&gt;=0,'NW - E7'!I11))</f>
        <v>0</v>
      </c>
      <c r="Z22" s="206" t="str">
        <f t="shared" si="13"/>
        <v/>
      </c>
      <c r="AA22" s="250">
        <f t="shared" si="14"/>
        <v>0</v>
      </c>
      <c r="AB22" s="249">
        <f>IF('NW - E7'!H11=0,0,IF('NW - E7'!H11&gt;=0,'NW - E7'!H11))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M7'!C23="","",IF('RIO - M7'!C23&gt;"",'RIO - M7'!C23))</f>
        <v/>
      </c>
      <c r="D23" s="149" t="str">
        <f>IF('NW - E7'!N12="","",IF('NW - E7'!N12="A+","A",IF('NW - E7'!N12="A","A",IF('NW - E7'!N12="B","B",IF('NW - E7'!N12="C","C",IF('NW - E7'!N12="C-","C",IF('NW - E7'!N12="D","D",IF('NW - E7'!N12="E","E"))))))))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E7'!D12=0,0,IF('NW - E7'!D12&gt;=0,'NW - E7'!D12))</f>
        <v>0</v>
      </c>
      <c r="Q23" s="206" t="str">
        <f t="shared" si="7"/>
        <v/>
      </c>
      <c r="R23" s="250">
        <f t="shared" si="8"/>
        <v>0</v>
      </c>
      <c r="S23" s="249">
        <f>IF('NW - E7'!F12=0,0,IF('NW - E7'!F12&gt;=0,'NW - E7'!F12))</f>
        <v>0</v>
      </c>
      <c r="T23" s="206" t="str">
        <f t="shared" si="9"/>
        <v/>
      </c>
      <c r="U23" s="250">
        <f t="shared" si="10"/>
        <v>0</v>
      </c>
      <c r="V23" s="249">
        <f>IF('NW - E7'!E12=0,0,IF('NW - E7'!E12&gt;=0,'NW - E7'!E12))</f>
        <v>0</v>
      </c>
      <c r="W23" s="206" t="str">
        <f t="shared" si="11"/>
        <v/>
      </c>
      <c r="X23" s="250">
        <f t="shared" si="12"/>
        <v>0</v>
      </c>
      <c r="Y23" s="249">
        <f>IF('NW - E7'!I12=0,0,IF('NW - E7'!I12&gt;=0,'NW - E7'!I12))</f>
        <v>0</v>
      </c>
      <c r="Z23" s="206" t="str">
        <f t="shared" si="13"/>
        <v/>
      </c>
      <c r="AA23" s="250">
        <f t="shared" si="14"/>
        <v>0</v>
      </c>
      <c r="AB23" s="249">
        <f>IF('NW - E7'!H12=0,0,IF('NW - E7'!H12&gt;=0,'NW - E7'!H12))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M7'!C24="","",IF('RIO - M7'!C24&gt;"",'RIO - M7'!C24))</f>
        <v/>
      </c>
      <c r="D24" s="149" t="str">
        <f>IF('NW - E7'!N13="","",IF('NW - E7'!N13="A+","A",IF('NW - E7'!N13="A","A",IF('NW - E7'!N13="B","B",IF('NW - E7'!N13="C","C",IF('NW - E7'!N13="C-","C",IF('NW - E7'!N13="D","D",IF('NW - E7'!N13="E","E"))))))))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E7'!D13=0,0,IF('NW - E7'!D13&gt;=0,'NW - E7'!D13))</f>
        <v>0</v>
      </c>
      <c r="Q24" s="206" t="str">
        <f t="shared" si="7"/>
        <v/>
      </c>
      <c r="R24" s="250">
        <f t="shared" si="8"/>
        <v>0</v>
      </c>
      <c r="S24" s="249">
        <f>IF('NW - E7'!F13=0,0,IF('NW - E7'!F13&gt;=0,'NW - E7'!F13))</f>
        <v>0</v>
      </c>
      <c r="T24" s="206" t="str">
        <f t="shared" si="9"/>
        <v/>
      </c>
      <c r="U24" s="250">
        <f t="shared" si="10"/>
        <v>0</v>
      </c>
      <c r="V24" s="249">
        <f>IF('NW - E7'!E13=0,0,IF('NW - E7'!E13&gt;=0,'NW - E7'!E13))</f>
        <v>0</v>
      </c>
      <c r="W24" s="206" t="str">
        <f t="shared" si="11"/>
        <v/>
      </c>
      <c r="X24" s="250">
        <f t="shared" si="12"/>
        <v>0</v>
      </c>
      <c r="Y24" s="249">
        <f>IF('NW - E7'!I13=0,0,IF('NW - E7'!I13&gt;=0,'NW - E7'!I13))</f>
        <v>0</v>
      </c>
      <c r="Z24" s="206" t="str">
        <f t="shared" si="13"/>
        <v/>
      </c>
      <c r="AA24" s="250">
        <f t="shared" si="14"/>
        <v>0</v>
      </c>
      <c r="AB24" s="249">
        <f>IF('NW - E7'!H13=0,0,IF('NW - E7'!H13&gt;=0,'NW - E7'!H13))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M7'!C25="","",IF('RIO - M7'!C25&gt;"",'RIO - M7'!C25))</f>
        <v/>
      </c>
      <c r="D25" s="149" t="str">
        <f>IF('NW - E7'!N14="","",IF('NW - E7'!N14="A+","A",IF('NW - E7'!N14="A","A",IF('NW - E7'!N14="B","B",IF('NW - E7'!N14="C","C",IF('NW - E7'!N14="C-","C",IF('NW - E7'!N14="D","D",IF('NW - E7'!N14="E","E"))))))))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E7'!D14=0,0,IF('NW - E7'!D14&gt;=0,'NW - E7'!D14))</f>
        <v>0</v>
      </c>
      <c r="Q25" s="206" t="str">
        <f t="shared" si="7"/>
        <v/>
      </c>
      <c r="R25" s="250">
        <f t="shared" si="8"/>
        <v>0</v>
      </c>
      <c r="S25" s="249">
        <f>IF('NW - E7'!F14=0,0,IF('NW - E7'!F14&gt;=0,'NW - E7'!F14))</f>
        <v>0</v>
      </c>
      <c r="T25" s="206" t="str">
        <f t="shared" si="9"/>
        <v/>
      </c>
      <c r="U25" s="250">
        <f t="shared" si="10"/>
        <v>0</v>
      </c>
      <c r="V25" s="249">
        <f>IF('NW - E7'!E14=0,0,IF('NW - E7'!E14&gt;=0,'NW - E7'!E14))</f>
        <v>0</v>
      </c>
      <c r="W25" s="206" t="str">
        <f t="shared" si="11"/>
        <v/>
      </c>
      <c r="X25" s="250">
        <f t="shared" si="12"/>
        <v>0</v>
      </c>
      <c r="Y25" s="249">
        <f>IF('NW - E7'!I14=0,0,IF('NW - E7'!I14&gt;=0,'NW - E7'!I14))</f>
        <v>0</v>
      </c>
      <c r="Z25" s="206" t="str">
        <f t="shared" si="13"/>
        <v/>
      </c>
      <c r="AA25" s="250">
        <f t="shared" si="14"/>
        <v>0</v>
      </c>
      <c r="AB25" s="249">
        <f>IF('NW - E7'!H14=0,0,IF('NW - E7'!H14&gt;=0,'NW - E7'!H14))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M7'!C26="","",IF('RIO - M7'!C26&gt;"",'RIO - M7'!C26))</f>
        <v/>
      </c>
      <c r="D26" s="149" t="str">
        <f>IF('NW - E7'!N15="","",IF('NW - E7'!N15="A+","A",IF('NW - E7'!N15="A","A",IF('NW - E7'!N15="B","B",IF('NW - E7'!N15="C","C",IF('NW - E7'!N15="C-","C",IF('NW - E7'!N15="D","D",IF('NW - E7'!N15="E","E"))))))))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E7'!D15=0,0,IF('NW - E7'!D15&gt;=0,'NW - E7'!D15))</f>
        <v>0</v>
      </c>
      <c r="Q26" s="206" t="str">
        <f t="shared" si="7"/>
        <v/>
      </c>
      <c r="R26" s="250">
        <f t="shared" si="8"/>
        <v>0</v>
      </c>
      <c r="S26" s="249">
        <f>IF('NW - E7'!F15=0,0,IF('NW - E7'!F15&gt;=0,'NW - E7'!F15))</f>
        <v>0</v>
      </c>
      <c r="T26" s="206" t="str">
        <f t="shared" si="9"/>
        <v/>
      </c>
      <c r="U26" s="250">
        <f t="shared" si="10"/>
        <v>0</v>
      </c>
      <c r="V26" s="249">
        <f>IF('NW - E7'!E15=0,0,IF('NW - E7'!E15&gt;=0,'NW - E7'!E15))</f>
        <v>0</v>
      </c>
      <c r="W26" s="206" t="str">
        <f t="shared" si="11"/>
        <v/>
      </c>
      <c r="X26" s="250">
        <f t="shared" si="12"/>
        <v>0</v>
      </c>
      <c r="Y26" s="249">
        <f>IF('NW - E7'!I15=0,0,IF('NW - E7'!I15&gt;=0,'NW - E7'!I15))</f>
        <v>0</v>
      </c>
      <c r="Z26" s="206" t="str">
        <f t="shared" si="13"/>
        <v/>
      </c>
      <c r="AA26" s="250">
        <f t="shared" si="14"/>
        <v>0</v>
      </c>
      <c r="AB26" s="249">
        <f>IF('NW - E7'!H15=0,0,IF('NW - E7'!H15&gt;=0,'NW - E7'!H15))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M7'!C27="","",IF('RIO - M7'!C27&gt;"",'RIO - M7'!C27))</f>
        <v/>
      </c>
      <c r="D27" s="149" t="str">
        <f>IF('NW - E7'!N16="","",IF('NW - E7'!N16="A+","A",IF('NW - E7'!N16="A","A",IF('NW - E7'!N16="B","B",IF('NW - E7'!N16="C","C",IF('NW - E7'!N16="C-","C",IF('NW - E7'!N16="D","D",IF('NW - E7'!N16="E","E"))))))))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E7'!D16=0,0,IF('NW - E7'!D16&gt;=0,'NW - E7'!D16))</f>
        <v>0</v>
      </c>
      <c r="Q27" s="206" t="str">
        <f t="shared" si="7"/>
        <v/>
      </c>
      <c r="R27" s="250">
        <f t="shared" si="8"/>
        <v>0</v>
      </c>
      <c r="S27" s="249">
        <f>IF('NW - E7'!F16=0,0,IF('NW - E7'!F16&gt;=0,'NW - E7'!F16))</f>
        <v>0</v>
      </c>
      <c r="T27" s="206" t="str">
        <f t="shared" si="9"/>
        <v/>
      </c>
      <c r="U27" s="250">
        <f t="shared" si="10"/>
        <v>0</v>
      </c>
      <c r="V27" s="249">
        <f>IF('NW - E7'!E16=0,0,IF('NW - E7'!E16&gt;=0,'NW - E7'!E16))</f>
        <v>0</v>
      </c>
      <c r="W27" s="206" t="str">
        <f t="shared" si="11"/>
        <v/>
      </c>
      <c r="X27" s="250">
        <f t="shared" si="12"/>
        <v>0</v>
      </c>
      <c r="Y27" s="249">
        <f>IF('NW - E7'!I16=0,0,IF('NW - E7'!I16&gt;=0,'NW - E7'!I16))</f>
        <v>0</v>
      </c>
      <c r="Z27" s="206" t="str">
        <f t="shared" si="13"/>
        <v/>
      </c>
      <c r="AA27" s="250">
        <f t="shared" si="14"/>
        <v>0</v>
      </c>
      <c r="AB27" s="249">
        <f>IF('NW - E7'!H16=0,0,IF('NW - E7'!H16&gt;=0,'NW - E7'!H16))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M7'!C28="","",IF('RIO - M7'!C28&gt;"",'RIO - M7'!C28))</f>
        <v/>
      </c>
      <c r="D28" s="149" t="str">
        <f>IF('NW - E7'!N17="","",IF('NW - E7'!N17="A+","A",IF('NW - E7'!N17="A","A",IF('NW - E7'!N17="B","B",IF('NW - E7'!N17="C","C",IF('NW - E7'!N17="C-","C",IF('NW - E7'!N17="D","D",IF('NW - E7'!N17="E","E"))))))))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E7'!D17=0,0,IF('NW - E7'!D17&gt;=0,'NW - E7'!D17))</f>
        <v>0</v>
      </c>
      <c r="Q28" s="206" t="str">
        <f t="shared" si="7"/>
        <v/>
      </c>
      <c r="R28" s="250">
        <f t="shared" si="8"/>
        <v>0</v>
      </c>
      <c r="S28" s="249">
        <f>IF('NW - E7'!F17=0,0,IF('NW - E7'!F17&gt;=0,'NW - E7'!F17))</f>
        <v>0</v>
      </c>
      <c r="T28" s="206" t="str">
        <f t="shared" si="9"/>
        <v/>
      </c>
      <c r="U28" s="250">
        <f t="shared" si="10"/>
        <v>0</v>
      </c>
      <c r="V28" s="249">
        <f>IF('NW - E7'!E17=0,0,IF('NW - E7'!E17&gt;=0,'NW - E7'!E17))</f>
        <v>0</v>
      </c>
      <c r="W28" s="206" t="str">
        <f t="shared" si="11"/>
        <v/>
      </c>
      <c r="X28" s="250">
        <f t="shared" si="12"/>
        <v>0</v>
      </c>
      <c r="Y28" s="249">
        <f>IF('NW - E7'!I17=0,0,IF('NW - E7'!I17&gt;=0,'NW - E7'!I17))</f>
        <v>0</v>
      </c>
      <c r="Z28" s="206" t="str">
        <f t="shared" si="13"/>
        <v/>
      </c>
      <c r="AA28" s="250">
        <f t="shared" si="14"/>
        <v>0</v>
      </c>
      <c r="AB28" s="249">
        <f>IF('NW - E7'!H17=0,0,IF('NW - E7'!H17&gt;=0,'NW - E7'!H17))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M7'!C29="","",IF('RIO - M7'!C29&gt;"",'RIO - M7'!C29))</f>
        <v/>
      </c>
      <c r="D29" s="149" t="str">
        <f>IF('NW - E7'!N18="","",IF('NW - E7'!N18="A+","A",IF('NW - E7'!N18="A","A",IF('NW - E7'!N18="B","B",IF('NW - E7'!N18="C","C",IF('NW - E7'!N18="C-","C",IF('NW - E7'!N18="D","D",IF('NW - E7'!N18="E","E"))))))))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E7'!D18=0,0,IF('NW - E7'!D18&gt;=0,'NW - E7'!D18))</f>
        <v>0</v>
      </c>
      <c r="Q29" s="206" t="str">
        <f t="shared" si="7"/>
        <v/>
      </c>
      <c r="R29" s="250">
        <f t="shared" si="8"/>
        <v>0</v>
      </c>
      <c r="S29" s="249">
        <f>IF('NW - E7'!F18=0,0,IF('NW - E7'!F18&gt;=0,'NW - E7'!F18))</f>
        <v>0</v>
      </c>
      <c r="T29" s="206" t="str">
        <f t="shared" si="9"/>
        <v/>
      </c>
      <c r="U29" s="250">
        <f t="shared" si="10"/>
        <v>0</v>
      </c>
      <c r="V29" s="249">
        <f>IF('NW - E7'!E18=0,0,IF('NW - E7'!E18&gt;=0,'NW - E7'!E18))</f>
        <v>0</v>
      </c>
      <c r="W29" s="206" t="str">
        <f t="shared" si="11"/>
        <v/>
      </c>
      <c r="X29" s="250">
        <f t="shared" si="12"/>
        <v>0</v>
      </c>
      <c r="Y29" s="249">
        <f>IF('NW - E7'!I18=0,0,IF('NW - E7'!I18&gt;=0,'NW - E7'!I18))</f>
        <v>0</v>
      </c>
      <c r="Z29" s="206" t="str">
        <f t="shared" si="13"/>
        <v/>
      </c>
      <c r="AA29" s="250">
        <f t="shared" si="14"/>
        <v>0</v>
      </c>
      <c r="AB29" s="249">
        <f>IF('NW - E7'!H18=0,0,IF('NW - E7'!H18&gt;=0,'NW - E7'!H18))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M7'!C30="","",IF('RIO - M7'!C30&gt;"",'RIO - M7'!C30))</f>
        <v/>
      </c>
      <c r="D30" s="149" t="str">
        <f>IF('NW - E7'!N19="","",IF('NW - E7'!N19="A+","A",IF('NW - E7'!N19="A","A",IF('NW - E7'!N19="B","B",IF('NW - E7'!N19="C","C",IF('NW - E7'!N19="C-","C",IF('NW - E7'!N19="D","D",IF('NW - E7'!N19="E","E"))))))))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E7'!D19=0,0,IF('NW - E7'!D19&gt;=0,'NW - E7'!D19))</f>
        <v>0</v>
      </c>
      <c r="Q30" s="206" t="str">
        <f t="shared" si="7"/>
        <v/>
      </c>
      <c r="R30" s="250">
        <f t="shared" si="8"/>
        <v>0</v>
      </c>
      <c r="S30" s="249">
        <f>IF('NW - E7'!F19=0,0,IF('NW - E7'!F19&gt;=0,'NW - E7'!F19))</f>
        <v>0</v>
      </c>
      <c r="T30" s="206" t="str">
        <f t="shared" si="9"/>
        <v/>
      </c>
      <c r="U30" s="250">
        <f t="shared" si="10"/>
        <v>0</v>
      </c>
      <c r="V30" s="249">
        <f>IF('NW - E7'!E19=0,0,IF('NW - E7'!E19&gt;=0,'NW - E7'!E19))</f>
        <v>0</v>
      </c>
      <c r="W30" s="206" t="str">
        <f t="shared" si="11"/>
        <v/>
      </c>
      <c r="X30" s="250">
        <f t="shared" si="12"/>
        <v>0</v>
      </c>
      <c r="Y30" s="249">
        <f>IF('NW - E7'!I19=0,0,IF('NW - E7'!I19&gt;=0,'NW - E7'!I19))</f>
        <v>0</v>
      </c>
      <c r="Z30" s="206" t="str">
        <f t="shared" si="13"/>
        <v/>
      </c>
      <c r="AA30" s="250">
        <f t="shared" si="14"/>
        <v>0</v>
      </c>
      <c r="AB30" s="249">
        <f>IF('NW - E7'!H19=0,0,IF('NW - E7'!H19&gt;=0,'NW - E7'!H19))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M7'!C31="","",IF('RIO - M7'!C31&gt;"",'RIO - M7'!C31))</f>
        <v/>
      </c>
      <c r="D31" s="149" t="str">
        <f>IF('NW - E7'!N20="","",IF('NW - E7'!N20="A+","A",IF('NW - E7'!N20="A","A",IF('NW - E7'!N20="B","B",IF('NW - E7'!N20="C","C",IF('NW - E7'!N20="C-","C",IF('NW - E7'!N20="D","D",IF('NW - E7'!N20="E","E"))))))))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E7'!D20=0,0,IF('NW - E7'!D20&gt;=0,'NW - E7'!D20))</f>
        <v>0</v>
      </c>
      <c r="Q31" s="206" t="str">
        <f t="shared" si="7"/>
        <v/>
      </c>
      <c r="R31" s="250">
        <f t="shared" si="8"/>
        <v>0</v>
      </c>
      <c r="S31" s="249">
        <f>IF('NW - E7'!F20=0,0,IF('NW - E7'!F20&gt;=0,'NW - E7'!F20))</f>
        <v>0</v>
      </c>
      <c r="T31" s="206" t="str">
        <f t="shared" si="9"/>
        <v/>
      </c>
      <c r="U31" s="250">
        <f t="shared" si="10"/>
        <v>0</v>
      </c>
      <c r="V31" s="249">
        <f>IF('NW - E7'!E20=0,0,IF('NW - E7'!E20&gt;=0,'NW - E7'!E20))</f>
        <v>0</v>
      </c>
      <c r="W31" s="206" t="str">
        <f t="shared" si="11"/>
        <v/>
      </c>
      <c r="X31" s="250">
        <f t="shared" si="12"/>
        <v>0</v>
      </c>
      <c r="Y31" s="249">
        <f>IF('NW - E7'!I20=0,0,IF('NW - E7'!I20&gt;=0,'NW - E7'!I20))</f>
        <v>0</v>
      </c>
      <c r="Z31" s="206" t="str">
        <f t="shared" si="13"/>
        <v/>
      </c>
      <c r="AA31" s="250">
        <f t="shared" si="14"/>
        <v>0</v>
      </c>
      <c r="AB31" s="249">
        <f>IF('NW - E7'!H20=0,0,IF('NW - E7'!H20&gt;=0,'NW - E7'!H20))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M7'!C32="","",IF('RIO - M7'!C32&gt;"",'RIO - M7'!C32))</f>
        <v/>
      </c>
      <c r="D32" s="149" t="str">
        <f>IF('NW - E7'!N21="","",IF('NW - E7'!N21="A+","A",IF('NW - E7'!N21="A","A",IF('NW - E7'!N21="B","B",IF('NW - E7'!N21="C","C",IF('NW - E7'!N21="C-","C",IF('NW - E7'!N21="D","D",IF('NW - E7'!N21="E","E"))))))))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E7'!D21=0,0,IF('NW - E7'!D21&gt;=0,'NW - E7'!D21))</f>
        <v>0</v>
      </c>
      <c r="Q32" s="206" t="str">
        <f t="shared" si="7"/>
        <v/>
      </c>
      <c r="R32" s="250">
        <f t="shared" si="8"/>
        <v>0</v>
      </c>
      <c r="S32" s="249">
        <f>IF('NW - E7'!F21=0,0,IF('NW - E7'!F21&gt;=0,'NW - E7'!F21))</f>
        <v>0</v>
      </c>
      <c r="T32" s="206" t="str">
        <f t="shared" si="9"/>
        <v/>
      </c>
      <c r="U32" s="250">
        <f t="shared" si="10"/>
        <v>0</v>
      </c>
      <c r="V32" s="249">
        <f>IF('NW - E7'!E21=0,0,IF('NW - E7'!E21&gt;=0,'NW - E7'!E21))</f>
        <v>0</v>
      </c>
      <c r="W32" s="206" t="str">
        <f t="shared" si="11"/>
        <v/>
      </c>
      <c r="X32" s="250">
        <f t="shared" si="12"/>
        <v>0</v>
      </c>
      <c r="Y32" s="249">
        <f>IF('NW - E7'!I21=0,0,IF('NW - E7'!I21&gt;=0,'NW - E7'!I21))</f>
        <v>0</v>
      </c>
      <c r="Z32" s="206" t="str">
        <f t="shared" si="13"/>
        <v/>
      </c>
      <c r="AA32" s="250">
        <f t="shared" si="14"/>
        <v>0</v>
      </c>
      <c r="AB32" s="249">
        <f>IF('NW - E7'!H21=0,0,IF('NW - E7'!H21&gt;=0,'NW - E7'!H21))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M7'!C33="","",IF('RIO - M7'!C33&gt;"",'RIO - M7'!C33))</f>
        <v/>
      </c>
      <c r="D33" s="149" t="str">
        <f>IF('NW - E7'!N22="","",IF('NW - E7'!N22="A+","A",IF('NW - E7'!N22="A","A",IF('NW - E7'!N22="B","B",IF('NW - E7'!N22="C","C",IF('NW - E7'!N22="C-","C",IF('NW - E7'!N22="D","D",IF('NW - E7'!N22="E","E"))))))))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E7'!D22=0,0,IF('NW - E7'!D22&gt;=0,'NW - E7'!D22))</f>
        <v>0</v>
      </c>
      <c r="Q33" s="206" t="str">
        <f t="shared" si="7"/>
        <v/>
      </c>
      <c r="R33" s="250">
        <f t="shared" si="8"/>
        <v>0</v>
      </c>
      <c r="S33" s="249">
        <f>IF('NW - E7'!F22=0,0,IF('NW - E7'!F22&gt;=0,'NW - E7'!F22))</f>
        <v>0</v>
      </c>
      <c r="T33" s="206" t="str">
        <f t="shared" si="9"/>
        <v/>
      </c>
      <c r="U33" s="250">
        <f t="shared" si="10"/>
        <v>0</v>
      </c>
      <c r="V33" s="249">
        <f>IF('NW - E7'!E22=0,0,IF('NW - E7'!E22&gt;=0,'NW - E7'!E22))</f>
        <v>0</v>
      </c>
      <c r="W33" s="206" t="str">
        <f t="shared" si="11"/>
        <v/>
      </c>
      <c r="X33" s="250">
        <f t="shared" si="12"/>
        <v>0</v>
      </c>
      <c r="Y33" s="249">
        <f>IF('NW - E7'!I22=0,0,IF('NW - E7'!I22&gt;=0,'NW - E7'!I22))</f>
        <v>0</v>
      </c>
      <c r="Z33" s="206" t="str">
        <f t="shared" si="13"/>
        <v/>
      </c>
      <c r="AA33" s="250">
        <f t="shared" si="14"/>
        <v>0</v>
      </c>
      <c r="AB33" s="249">
        <f>IF('NW - E7'!H22=0,0,IF('NW - E7'!H22&gt;=0,'NW - E7'!H22))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M7'!C34="","",IF('RIO - M7'!C34&gt;"",'RIO - M7'!C34))</f>
        <v/>
      </c>
      <c r="D34" s="149" t="str">
        <f>IF('NW - E7'!N23="","",IF('NW - E7'!N23="A+","A",IF('NW - E7'!N23="A","A",IF('NW - E7'!N23="B","B",IF('NW - E7'!N23="C","C",IF('NW - E7'!N23="C-","C",IF('NW - E7'!N23="D","D",IF('NW - E7'!N23="E","E"))))))))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E7'!D23=0,0,IF('NW - E7'!D23&gt;=0,'NW - E7'!D23))</f>
        <v>0</v>
      </c>
      <c r="Q34" s="206" t="str">
        <f t="shared" si="7"/>
        <v/>
      </c>
      <c r="R34" s="250">
        <f t="shared" si="8"/>
        <v>0</v>
      </c>
      <c r="S34" s="249">
        <f>IF('NW - E7'!F23=0,0,IF('NW - E7'!F23&gt;=0,'NW - E7'!F23))</f>
        <v>0</v>
      </c>
      <c r="T34" s="206" t="str">
        <f t="shared" si="9"/>
        <v/>
      </c>
      <c r="U34" s="250">
        <f t="shared" si="10"/>
        <v>0</v>
      </c>
      <c r="V34" s="249">
        <f>IF('NW - E7'!E23=0,0,IF('NW - E7'!E23&gt;=0,'NW - E7'!E23))</f>
        <v>0</v>
      </c>
      <c r="W34" s="206" t="str">
        <f t="shared" si="11"/>
        <v/>
      </c>
      <c r="X34" s="250">
        <f t="shared" si="12"/>
        <v>0</v>
      </c>
      <c r="Y34" s="249">
        <f>IF('NW - E7'!I23=0,0,IF('NW - E7'!I23&gt;=0,'NW - E7'!I23))</f>
        <v>0</v>
      </c>
      <c r="Z34" s="206" t="str">
        <f t="shared" si="13"/>
        <v/>
      </c>
      <c r="AA34" s="250">
        <f t="shared" si="14"/>
        <v>0</v>
      </c>
      <c r="AB34" s="249">
        <f>IF('NW - E7'!H23=0,0,IF('NW - E7'!H23&gt;=0,'NW - E7'!H23))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M7'!C35="","",IF('RIO - M7'!C35&gt;"",'RIO - M7'!C35))</f>
        <v/>
      </c>
      <c r="D35" s="149" t="str">
        <f>IF('NW - E7'!N24="","",IF('NW - E7'!N24="A+","A",IF('NW - E7'!N24="A","A",IF('NW - E7'!N24="B","B",IF('NW - E7'!N24="C","C",IF('NW - E7'!N24="C-","C",IF('NW - E7'!N24="D","D",IF('NW - E7'!N24="E","E"))))))))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E7'!D24=0,0,IF('NW - E7'!D24&gt;=0,'NW - E7'!D24))</f>
        <v>0</v>
      </c>
      <c r="Q35" s="206" t="str">
        <f t="shared" si="7"/>
        <v/>
      </c>
      <c r="R35" s="250">
        <f t="shared" si="8"/>
        <v>0</v>
      </c>
      <c r="S35" s="249">
        <f>IF('NW - E7'!F24=0,0,IF('NW - E7'!F24&gt;=0,'NW - E7'!F24))</f>
        <v>0</v>
      </c>
      <c r="T35" s="206" t="str">
        <f t="shared" si="9"/>
        <v/>
      </c>
      <c r="U35" s="250">
        <f t="shared" si="10"/>
        <v>0</v>
      </c>
      <c r="V35" s="249">
        <f>IF('NW - E7'!E24=0,0,IF('NW - E7'!E24&gt;=0,'NW - E7'!E24))</f>
        <v>0</v>
      </c>
      <c r="W35" s="206" t="str">
        <f t="shared" si="11"/>
        <v/>
      </c>
      <c r="X35" s="250">
        <f t="shared" si="12"/>
        <v>0</v>
      </c>
      <c r="Y35" s="249">
        <f>IF('NW - E7'!I24=0,0,IF('NW - E7'!I24&gt;=0,'NW - E7'!I24))</f>
        <v>0</v>
      </c>
      <c r="Z35" s="206" t="str">
        <f t="shared" si="13"/>
        <v/>
      </c>
      <c r="AA35" s="250">
        <f t="shared" si="14"/>
        <v>0</v>
      </c>
      <c r="AB35" s="249">
        <f>IF('NW - E7'!H24=0,0,IF('NW - E7'!H24&gt;=0,'NW - E7'!H24))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M7'!C36="","",IF('RIO - M7'!C36&gt;"",'RIO - M7'!C36))</f>
        <v/>
      </c>
      <c r="D36" s="149" t="str">
        <f>IF('NW - E7'!N25="","",IF('NW - E7'!N25="A+","A",IF('NW - E7'!N25="A","A",IF('NW - E7'!N25="B","B",IF('NW - E7'!N25="C","C",IF('NW - E7'!N25="C-","C",IF('NW - E7'!N25="D","D",IF('NW - E7'!N25="E","E"))))))))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E7'!D25=0,0,IF('NW - E7'!D25&gt;=0,'NW - E7'!D25))</f>
        <v>0</v>
      </c>
      <c r="Q36" s="206" t="str">
        <f t="shared" si="7"/>
        <v/>
      </c>
      <c r="R36" s="250">
        <f t="shared" si="8"/>
        <v>0</v>
      </c>
      <c r="S36" s="249">
        <f>IF('NW - E7'!F25=0,0,IF('NW - E7'!F25&gt;=0,'NW - E7'!F25))</f>
        <v>0</v>
      </c>
      <c r="T36" s="206" t="str">
        <f t="shared" si="9"/>
        <v/>
      </c>
      <c r="U36" s="250">
        <f t="shared" si="10"/>
        <v>0</v>
      </c>
      <c r="V36" s="249">
        <f>IF('NW - E7'!E25=0,0,IF('NW - E7'!E25&gt;=0,'NW - E7'!E25))</f>
        <v>0</v>
      </c>
      <c r="W36" s="206" t="str">
        <f t="shared" si="11"/>
        <v/>
      </c>
      <c r="X36" s="250">
        <f t="shared" si="12"/>
        <v>0</v>
      </c>
      <c r="Y36" s="249">
        <f>IF('NW - E7'!I25=0,0,IF('NW - E7'!I25&gt;=0,'NW - E7'!I25))</f>
        <v>0</v>
      </c>
      <c r="Z36" s="206" t="str">
        <f t="shared" si="13"/>
        <v/>
      </c>
      <c r="AA36" s="250">
        <f t="shared" si="14"/>
        <v>0</v>
      </c>
      <c r="AB36" s="249">
        <f>IF('NW - E7'!H25=0,0,IF('NW - E7'!H25&gt;=0,'NW - E7'!H25))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M7'!C37="","",IF('RIO - M7'!C37&gt;"",'RIO - M7'!C37))</f>
        <v/>
      </c>
      <c r="D37" s="149" t="str">
        <f>IF('NW - E7'!N26="","",IF('NW - E7'!N26="A+","A",IF('NW - E7'!N26="A","A",IF('NW - E7'!N26="B","B",IF('NW - E7'!N26="C","C",IF('NW - E7'!N26="C-","C",IF('NW - E7'!N26="D","D",IF('NW - E7'!N26="E","E"))))))))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E7'!D26=0,0,IF('NW - E7'!D26&gt;=0,'NW - E7'!D26))</f>
        <v>0</v>
      </c>
      <c r="Q37" s="206" t="str">
        <f t="shared" si="7"/>
        <v/>
      </c>
      <c r="R37" s="250">
        <f t="shared" si="8"/>
        <v>0</v>
      </c>
      <c r="S37" s="249">
        <f>IF('NW - E7'!F26=0,0,IF('NW - E7'!F26&gt;=0,'NW - E7'!F26))</f>
        <v>0</v>
      </c>
      <c r="T37" s="206" t="str">
        <f t="shared" si="9"/>
        <v/>
      </c>
      <c r="U37" s="250">
        <f t="shared" si="10"/>
        <v>0</v>
      </c>
      <c r="V37" s="249">
        <f>IF('NW - E7'!E26=0,0,IF('NW - E7'!E26&gt;=0,'NW - E7'!E26))</f>
        <v>0</v>
      </c>
      <c r="W37" s="206" t="str">
        <f t="shared" si="11"/>
        <v/>
      </c>
      <c r="X37" s="250">
        <f t="shared" si="12"/>
        <v>0</v>
      </c>
      <c r="Y37" s="249">
        <f>IF('NW - E7'!I26=0,0,IF('NW - E7'!I26&gt;=0,'NW - E7'!I26))</f>
        <v>0</v>
      </c>
      <c r="Z37" s="206" t="str">
        <f t="shared" si="13"/>
        <v/>
      </c>
      <c r="AA37" s="250">
        <f t="shared" si="14"/>
        <v>0</v>
      </c>
      <c r="AB37" s="249">
        <f>IF('NW - E7'!H26=0,0,IF('NW - E7'!H26&gt;=0,'NW - E7'!H26))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M7'!C38="","",IF('RIO - M7'!C38&gt;"",'RIO - M7'!C38))</f>
        <v/>
      </c>
      <c r="D38" s="149" t="str">
        <f>IF('NW - E7'!N27="","",IF('NW - E7'!N27="A+","A",IF('NW - E7'!N27="A","A",IF('NW - E7'!N27="B","B",IF('NW - E7'!N27="C","C",IF('NW - E7'!N27="C-","C",IF('NW - E7'!N27="D","D",IF('NW - E7'!N27="E","E"))))))))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E7'!D27=0,0,IF('NW - E7'!D27&gt;=0,'NW - E7'!D27))</f>
        <v>0</v>
      </c>
      <c r="Q38" s="206" t="str">
        <f t="shared" si="7"/>
        <v/>
      </c>
      <c r="R38" s="250">
        <f t="shared" si="8"/>
        <v>0</v>
      </c>
      <c r="S38" s="249">
        <f>IF('NW - E7'!F27=0,0,IF('NW - E7'!F27&gt;=0,'NW - E7'!F27))</f>
        <v>0</v>
      </c>
      <c r="T38" s="206" t="str">
        <f t="shared" si="9"/>
        <v/>
      </c>
      <c r="U38" s="250">
        <f t="shared" si="10"/>
        <v>0</v>
      </c>
      <c r="V38" s="249">
        <f>IF('NW - E7'!E27=0,0,IF('NW - E7'!E27&gt;=0,'NW - E7'!E27))</f>
        <v>0</v>
      </c>
      <c r="W38" s="206" t="str">
        <f t="shared" si="11"/>
        <v/>
      </c>
      <c r="X38" s="250">
        <f t="shared" si="12"/>
        <v>0</v>
      </c>
      <c r="Y38" s="249">
        <f>IF('NW - E7'!I27=0,0,IF('NW - E7'!I27&gt;=0,'NW - E7'!I27))</f>
        <v>0</v>
      </c>
      <c r="Z38" s="206" t="str">
        <f t="shared" si="13"/>
        <v/>
      </c>
      <c r="AA38" s="250">
        <f t="shared" si="14"/>
        <v>0</v>
      </c>
      <c r="AB38" s="249">
        <f>IF('NW - E7'!H27=0,0,IF('NW - E7'!H27&gt;=0,'NW - E7'!H27))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M7'!C39="","",IF('RIO - M7'!C39&gt;"",'RIO - M7'!C39))</f>
        <v/>
      </c>
      <c r="D39" s="149" t="str">
        <f>IF('NW - E7'!N28="","",IF('NW - E7'!N28="A+","A",IF('NW - E7'!N28="A","A",IF('NW - E7'!N28="B","B",IF('NW - E7'!N28="C","C",IF('NW - E7'!N28="C-","C",IF('NW - E7'!N28="D","D",IF('NW - E7'!N28="E","E"))))))))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E7'!D28=0,0,IF('NW - E7'!D28&gt;=0,'NW - E7'!D28))</f>
        <v>0</v>
      </c>
      <c r="Q39" s="206" t="str">
        <f t="shared" si="7"/>
        <v/>
      </c>
      <c r="R39" s="250">
        <f t="shared" si="8"/>
        <v>0</v>
      </c>
      <c r="S39" s="249">
        <f>IF('NW - E7'!F28=0,0,IF('NW - E7'!F28&gt;=0,'NW - E7'!F28))</f>
        <v>0</v>
      </c>
      <c r="T39" s="206" t="str">
        <f t="shared" si="9"/>
        <v/>
      </c>
      <c r="U39" s="250">
        <f t="shared" si="10"/>
        <v>0</v>
      </c>
      <c r="V39" s="249">
        <f>IF('NW - E7'!E28=0,0,IF('NW - E7'!E28&gt;=0,'NW - E7'!E28))</f>
        <v>0</v>
      </c>
      <c r="W39" s="206" t="str">
        <f t="shared" si="11"/>
        <v/>
      </c>
      <c r="X39" s="250">
        <f t="shared" si="12"/>
        <v>0</v>
      </c>
      <c r="Y39" s="249">
        <f>IF('NW - E7'!I28=0,0,IF('NW - E7'!I28&gt;=0,'NW - E7'!I28))</f>
        <v>0</v>
      </c>
      <c r="Z39" s="206" t="str">
        <f t="shared" si="13"/>
        <v/>
      </c>
      <c r="AA39" s="250">
        <f t="shared" si="14"/>
        <v>0</v>
      </c>
      <c r="AB39" s="249">
        <f>IF('NW - E7'!H28=0,0,IF('NW - E7'!H28&gt;=0,'NW - E7'!H28))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M7'!C40="","",IF('RIO - M7'!C40&gt;"",'RIO - M7'!C40))</f>
        <v/>
      </c>
      <c r="D40" s="149" t="str">
        <f>IF('NW - E7'!N29="","",IF('NW - E7'!N29="A+","A",IF('NW - E7'!N29="A","A",IF('NW - E7'!N29="B","B",IF('NW - E7'!N29="C","C",IF('NW - E7'!N29="C-","C",IF('NW - E7'!N29="D","D",IF('NW - E7'!N29="E","E"))))))))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E7'!D29=0,0,IF('NW - E7'!D29&gt;=0,'NW - E7'!D29))</f>
        <v>0</v>
      </c>
      <c r="Q40" s="206" t="str">
        <f t="shared" si="7"/>
        <v/>
      </c>
      <c r="R40" s="250">
        <f t="shared" si="8"/>
        <v>0</v>
      </c>
      <c r="S40" s="249">
        <f>IF('NW - E7'!F29=0,0,IF('NW - E7'!F29&gt;=0,'NW - E7'!F29))</f>
        <v>0</v>
      </c>
      <c r="T40" s="206" t="str">
        <f t="shared" si="9"/>
        <v/>
      </c>
      <c r="U40" s="250">
        <f t="shared" si="10"/>
        <v>0</v>
      </c>
      <c r="V40" s="249">
        <f>IF('NW - E7'!E29=0,0,IF('NW - E7'!E29&gt;=0,'NW - E7'!E29))</f>
        <v>0</v>
      </c>
      <c r="W40" s="206" t="str">
        <f t="shared" si="11"/>
        <v/>
      </c>
      <c r="X40" s="250">
        <f t="shared" si="12"/>
        <v>0</v>
      </c>
      <c r="Y40" s="249">
        <f>IF('NW - E7'!I29=0,0,IF('NW - E7'!I29&gt;=0,'NW - E7'!I29))</f>
        <v>0</v>
      </c>
      <c r="Z40" s="206" t="str">
        <f t="shared" si="13"/>
        <v/>
      </c>
      <c r="AA40" s="250">
        <f t="shared" si="14"/>
        <v>0</v>
      </c>
      <c r="AB40" s="249">
        <f>IF('NW - E7'!H29=0,0,IF('NW - E7'!H29&gt;=0,'NW - E7'!H29))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M7'!C41="","",IF('RIO - M7'!C41&gt;"",'RIO - M7'!C41))</f>
        <v/>
      </c>
      <c r="D41" s="149" t="str">
        <f>IF('NW - E7'!N30="","",IF('NW - E7'!N30="A+","A",IF('NW - E7'!N30="A","A",IF('NW - E7'!N30="B","B",IF('NW - E7'!N30="C","C",IF('NW - E7'!N30="C-","C",IF('NW - E7'!N30="D","D",IF('NW - E7'!N30="E","E"))))))))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E7'!D30=0,0,IF('NW - E7'!D30&gt;=0,'NW - E7'!D30))</f>
        <v>0</v>
      </c>
      <c r="Q41" s="206" t="str">
        <f t="shared" si="7"/>
        <v/>
      </c>
      <c r="R41" s="250">
        <f t="shared" si="8"/>
        <v>0</v>
      </c>
      <c r="S41" s="249">
        <f>IF('NW - E7'!F30=0,0,IF('NW - E7'!F30&gt;=0,'NW - E7'!F30))</f>
        <v>0</v>
      </c>
      <c r="T41" s="206" t="str">
        <f t="shared" si="9"/>
        <v/>
      </c>
      <c r="U41" s="250">
        <f t="shared" si="10"/>
        <v>0</v>
      </c>
      <c r="V41" s="249">
        <f>IF('NW - E7'!E30=0,0,IF('NW - E7'!E30&gt;=0,'NW - E7'!E30))</f>
        <v>0</v>
      </c>
      <c r="W41" s="206" t="str">
        <f t="shared" si="11"/>
        <v/>
      </c>
      <c r="X41" s="250">
        <f t="shared" si="12"/>
        <v>0</v>
      </c>
      <c r="Y41" s="249">
        <f>IF('NW - E7'!I30=0,0,IF('NW - E7'!I30&gt;=0,'NW - E7'!I30))</f>
        <v>0</v>
      </c>
      <c r="Z41" s="206" t="str">
        <f t="shared" si="13"/>
        <v/>
      </c>
      <c r="AA41" s="250">
        <f t="shared" si="14"/>
        <v>0</v>
      </c>
      <c r="AB41" s="249">
        <f>IF('NW - E7'!H30=0,0,IF('NW - E7'!H30&gt;=0,'NW - E7'!H30))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M7'!C42="","",IF('RIO - M7'!C42&gt;"",'RIO - M7'!C42))</f>
        <v/>
      </c>
      <c r="D42" s="149" t="str">
        <f>IF('NW - E7'!N31="","",IF('NW - E7'!N31="A+","A",IF('NW - E7'!N31="A","A",IF('NW - E7'!N31="B","B",IF('NW - E7'!N31="C","C",IF('NW - E7'!N31="C-","C",IF('NW - E7'!N31="D","D",IF('NW - E7'!N31="E","E"))))))))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E7'!D31=0,0,IF('NW - E7'!D31&gt;=0,'NW - E7'!D31))</f>
        <v>0</v>
      </c>
      <c r="Q42" s="206" t="str">
        <f t="shared" si="7"/>
        <v/>
      </c>
      <c r="R42" s="250">
        <f t="shared" si="8"/>
        <v>0</v>
      </c>
      <c r="S42" s="249">
        <f>IF('NW - E7'!F31=0,0,IF('NW - E7'!F31&gt;=0,'NW - E7'!F31))</f>
        <v>0</v>
      </c>
      <c r="T42" s="206" t="str">
        <f t="shared" si="9"/>
        <v/>
      </c>
      <c r="U42" s="250">
        <f t="shared" si="10"/>
        <v>0</v>
      </c>
      <c r="V42" s="249">
        <f>IF('NW - E7'!E31=0,0,IF('NW - E7'!E31&gt;=0,'NW - E7'!E31))</f>
        <v>0</v>
      </c>
      <c r="W42" s="206" t="str">
        <f t="shared" si="11"/>
        <v/>
      </c>
      <c r="X42" s="250">
        <f t="shared" si="12"/>
        <v>0</v>
      </c>
      <c r="Y42" s="249">
        <f>IF('NW - E7'!I31=0,0,IF('NW - E7'!I31&gt;=0,'NW - E7'!I31))</f>
        <v>0</v>
      </c>
      <c r="Z42" s="206" t="str">
        <f t="shared" si="13"/>
        <v/>
      </c>
      <c r="AA42" s="250">
        <f t="shared" si="14"/>
        <v>0</v>
      </c>
      <c r="AB42" s="249">
        <f>IF('NW - E7'!H31=0,0,IF('NW - E7'!H31&gt;=0,'NW - E7'!H31))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M7'!C43="","",IF('RIO - M7'!C43&gt;"",'RIO - M7'!C43))</f>
        <v/>
      </c>
      <c r="D43" s="149" t="str">
        <f>IF('NW - E7'!N32="","",IF('NW - E7'!N32="A+","A",IF('NW - E7'!N32="A","A",IF('NW - E7'!N32="B","B",IF('NW - E7'!N32="C","C",IF('NW - E7'!N32="C-","C",IF('NW - E7'!N32="D","D",IF('NW - E7'!N32="E","E"))))))))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E7'!D32=0,0,IF('NW - E7'!D32&gt;=0,'NW - E7'!D32))</f>
        <v>0</v>
      </c>
      <c r="Q43" s="206" t="str">
        <f t="shared" si="7"/>
        <v/>
      </c>
      <c r="R43" s="250">
        <f t="shared" si="8"/>
        <v>0</v>
      </c>
      <c r="S43" s="249">
        <f>IF('NW - E7'!F32=0,0,IF('NW - E7'!F32&gt;=0,'NW - E7'!F32))</f>
        <v>0</v>
      </c>
      <c r="T43" s="206" t="str">
        <f t="shared" si="9"/>
        <v/>
      </c>
      <c r="U43" s="250">
        <f t="shared" si="10"/>
        <v>0</v>
      </c>
      <c r="V43" s="249">
        <f>IF('NW - E7'!E32=0,0,IF('NW - E7'!E32&gt;=0,'NW - E7'!E32))</f>
        <v>0</v>
      </c>
      <c r="W43" s="206" t="str">
        <f t="shared" si="11"/>
        <v/>
      </c>
      <c r="X43" s="250">
        <f t="shared" si="12"/>
        <v>0</v>
      </c>
      <c r="Y43" s="249">
        <f>IF('NW - E7'!I32=0,0,IF('NW - E7'!I32&gt;=0,'NW - E7'!I32))</f>
        <v>0</v>
      </c>
      <c r="Z43" s="206" t="str">
        <f t="shared" si="13"/>
        <v/>
      </c>
      <c r="AA43" s="250">
        <f t="shared" si="14"/>
        <v>0</v>
      </c>
      <c r="AB43" s="249">
        <f>IF('NW - E7'!H32=0,0,IF('NW - E7'!H32&gt;=0,'NW - E7'!H32))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M7'!C44="","",IF('RIO - M7'!C44&gt;"",'RIO - M7'!C44))</f>
        <v/>
      </c>
      <c r="D44" s="149" t="str">
        <f>IF('NW - E7'!N33="","",IF('NW - E7'!N33="A+","A",IF('NW - E7'!N33="A","A",IF('NW - E7'!N33="B","B",IF('NW - E7'!N33="C","C",IF('NW - E7'!N33="C-","C",IF('NW - E7'!N33="D","D",IF('NW - E7'!N33="E","E"))))))))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E7'!D33=0,0,IF('NW - E7'!D33&gt;=0,'NW - E7'!D33))</f>
        <v>0</v>
      </c>
      <c r="Q44" s="206" t="str">
        <f t="shared" si="7"/>
        <v/>
      </c>
      <c r="R44" s="250">
        <f t="shared" si="8"/>
        <v>0</v>
      </c>
      <c r="S44" s="249">
        <f>IF('NW - E7'!F33=0,0,IF('NW - E7'!F33&gt;=0,'NW - E7'!F33))</f>
        <v>0</v>
      </c>
      <c r="T44" s="206" t="str">
        <f t="shared" si="9"/>
        <v/>
      </c>
      <c r="U44" s="250">
        <f t="shared" si="10"/>
        <v>0</v>
      </c>
      <c r="V44" s="249">
        <f>IF('NW - E7'!E33=0,0,IF('NW - E7'!E33&gt;=0,'NW - E7'!E33))</f>
        <v>0</v>
      </c>
      <c r="W44" s="206" t="str">
        <f t="shared" si="11"/>
        <v/>
      </c>
      <c r="X44" s="250">
        <f t="shared" si="12"/>
        <v>0</v>
      </c>
      <c r="Y44" s="249">
        <f>IF('NW - E7'!I33=0,0,IF('NW - E7'!I33&gt;=0,'NW - E7'!I33))</f>
        <v>0</v>
      </c>
      <c r="Z44" s="206" t="str">
        <f t="shared" si="13"/>
        <v/>
      </c>
      <c r="AA44" s="250">
        <f t="shared" si="14"/>
        <v>0</v>
      </c>
      <c r="AB44" s="249">
        <f>IF('NW - E7'!H33=0,0,IF('NW - E7'!H33&gt;=0,'NW - E7'!H33))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t="b">
        <f>IF($J$1=5,3,IF($J$1="5A",3,IF($J$1="5B",3,IF($J$1="5C",3))))</f>
        <v>0</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M7'!C45="","",IF('RIO - M7'!C45&gt;"",'RIO - M7'!C45))</f>
        <v/>
      </c>
      <c r="D45" s="149" t="str">
        <f>IF('NW - E7'!N34="","",IF('NW - E7'!N34="A+","A",IF('NW - E7'!N34="A","A",IF('NW - E7'!N34="B","B",IF('NW - E7'!N34="C","C",IF('NW - E7'!N34="C-","C",IF('NW - E7'!N34="D","D",IF('NW - E7'!N34="E","E"))))))))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E7'!D34=0,0,IF('NW - E7'!D34&gt;=0,'NW - E7'!D34))</f>
        <v>0</v>
      </c>
      <c r="Q45" s="206" t="str">
        <f t="shared" si="7"/>
        <v/>
      </c>
      <c r="R45" s="250">
        <f t="shared" si="8"/>
        <v>0</v>
      </c>
      <c r="S45" s="249">
        <f>IF('NW - E7'!F34=0,0,IF('NW - E7'!F34&gt;=0,'NW - E7'!F34))</f>
        <v>0</v>
      </c>
      <c r="T45" s="206" t="str">
        <f t="shared" si="9"/>
        <v/>
      </c>
      <c r="U45" s="250">
        <f t="shared" si="10"/>
        <v>0</v>
      </c>
      <c r="V45" s="249">
        <f>IF('NW - E7'!E34=0,0,IF('NW - E7'!E34&gt;=0,'NW - E7'!E34))</f>
        <v>0</v>
      </c>
      <c r="W45" s="206" t="str">
        <f t="shared" si="11"/>
        <v/>
      </c>
      <c r="X45" s="250">
        <f t="shared" si="12"/>
        <v>0</v>
      </c>
      <c r="Y45" s="249">
        <f>IF('NW - E7'!I34=0,0,IF('NW - E7'!I34&gt;=0,'NW - E7'!I34))</f>
        <v>0</v>
      </c>
      <c r="Z45" s="206" t="str">
        <f t="shared" si="13"/>
        <v/>
      </c>
      <c r="AA45" s="250">
        <f t="shared" si="14"/>
        <v>0</v>
      </c>
      <c r="AB45" s="249">
        <f>IF('NW - E7'!H34=0,0,IF('NW - E7'!H34&gt;=0,'NW - E7'!H34))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t="b">
        <f>IF($J$1=6,4,IF($J$1="6A",4,IF($J$1="6B",4,IF($J$1="6C",4))))</f>
        <v>0</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M7'!C46="","",IF('RIO - M7'!C46&gt;"",'RIO - M7'!C46))</f>
        <v/>
      </c>
      <c r="D46" s="149" t="str">
        <f>IF('NW - E7'!N35="","",IF('NW - E7'!N35="A+","A",IF('NW - E7'!N35="A","A",IF('NW - E7'!N35="B","B",IF('NW - E7'!N35="C","C",IF('NW - E7'!N35="C-","C",IF('NW - E7'!N35="D","D",IF('NW - E7'!N35="E","E"))))))))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E7'!D35=0,0,IF('NW - E7'!D35&gt;=0,'NW - E7'!D35))</f>
        <v>0</v>
      </c>
      <c r="Q46" s="206" t="str">
        <f t="shared" si="7"/>
        <v/>
      </c>
      <c r="R46" s="250">
        <f t="shared" si="8"/>
        <v>0</v>
      </c>
      <c r="S46" s="249">
        <f>IF('NW - E7'!F35=0,0,IF('NW - E7'!F35&gt;=0,'NW - E7'!F35))</f>
        <v>0</v>
      </c>
      <c r="T46" s="206" t="str">
        <f t="shared" si="9"/>
        <v/>
      </c>
      <c r="U46" s="250">
        <f t="shared" si="10"/>
        <v>0</v>
      </c>
      <c r="V46" s="249">
        <f>IF('NW - E7'!E35=0,0,IF('NW - E7'!E35&gt;=0,'NW - E7'!E35))</f>
        <v>0</v>
      </c>
      <c r="W46" s="206" t="str">
        <f t="shared" si="11"/>
        <v/>
      </c>
      <c r="X46" s="250">
        <f t="shared" si="12"/>
        <v>0</v>
      </c>
      <c r="Y46" s="249">
        <f>IF('NW - E7'!I35=0,0,IF('NW - E7'!I35&gt;=0,'NW - E7'!I35))</f>
        <v>0</v>
      </c>
      <c r="Z46" s="206" t="str">
        <f t="shared" si="13"/>
        <v/>
      </c>
      <c r="AA46" s="250">
        <f t="shared" si="14"/>
        <v>0</v>
      </c>
      <c r="AB46" s="249">
        <f>IF('NW - E7'!H35=0,0,IF('NW - E7'!H35&gt;=0,'NW - E7'!H35))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f>IF($J$1=7,5,IF($J$1="7A",5,IF($J$1="7B",5,IF($J$1="7C",5))))</f>
        <v>5</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M7'!C47="","",IF('RIO - M7'!C47&gt;"",'RIO - M7'!C47))</f>
        <v/>
      </c>
      <c r="D47" s="149" t="str">
        <f>IF('NW - E7'!N36="","",IF('NW - E7'!N36="A+","A",IF('NW - E7'!N36="A","A",IF('NW - E7'!N36="B","B",IF('NW - E7'!N36="C","C",IF('NW - E7'!N36="C-","C",IF('NW - E7'!N36="D","D",IF('NW - E7'!N36="E","E"))))))))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E7'!D36=0,0,IF('NW - E7'!D36&gt;=0,'NW - E7'!D36))</f>
        <v>0</v>
      </c>
      <c r="Q47" s="206" t="str">
        <f t="shared" si="7"/>
        <v/>
      </c>
      <c r="R47" s="250">
        <f t="shared" si="8"/>
        <v>0</v>
      </c>
      <c r="S47" s="249">
        <f>IF('NW - E7'!F36=0,0,IF('NW - E7'!F36&gt;=0,'NW - E7'!F36))</f>
        <v>0</v>
      </c>
      <c r="T47" s="206" t="str">
        <f t="shared" si="9"/>
        <v/>
      </c>
      <c r="U47" s="250">
        <f t="shared" si="10"/>
        <v>0</v>
      </c>
      <c r="V47" s="249">
        <f>IF('NW - E7'!E36=0,0,IF('NW - E7'!E36&gt;=0,'NW - E7'!E36))</f>
        <v>0</v>
      </c>
      <c r="W47" s="206" t="str">
        <f t="shared" si="11"/>
        <v/>
      </c>
      <c r="X47" s="250">
        <f t="shared" si="12"/>
        <v>0</v>
      </c>
      <c r="Y47" s="249">
        <f>IF('NW - E7'!I36=0,0,IF('NW - E7'!I36&gt;=0,'NW - E7'!I36))</f>
        <v>0</v>
      </c>
      <c r="Z47" s="206" t="str">
        <f t="shared" si="13"/>
        <v/>
      </c>
      <c r="AA47" s="250">
        <f t="shared" si="14"/>
        <v>0</v>
      </c>
      <c r="AB47" s="249">
        <f>IF('NW - E7'!H36=0,0,IF('NW - E7'!H36&gt;=0,'NW - E7'!H36))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M7'!C48="","",IF('RIO - M7'!C48&gt;"",'RIO - M7'!C48))</f>
        <v/>
      </c>
      <c r="D48" s="149" t="str">
        <f>IF('NW - E7'!N37="","",IF('NW - E7'!N37="A+","A",IF('NW - E7'!N37="A","A",IF('NW - E7'!N37="B","B",IF('NW - E7'!N37="C","C",IF('NW - E7'!N37="C-","C",IF('NW - E7'!N37="D","D",IF('NW - E7'!N37="E","E"))))))))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E7'!D37=0,0,IF('NW - E7'!D37&gt;=0,'NW - E7'!D37))</f>
        <v>0</v>
      </c>
      <c r="Q48" s="206" t="str">
        <f t="shared" si="7"/>
        <v/>
      </c>
      <c r="R48" s="250">
        <f t="shared" si="8"/>
        <v>0</v>
      </c>
      <c r="S48" s="249">
        <f>IF('NW - E7'!F37=0,0,IF('NW - E7'!F37&gt;=0,'NW - E7'!F37))</f>
        <v>0</v>
      </c>
      <c r="T48" s="206" t="str">
        <f t="shared" si="9"/>
        <v/>
      </c>
      <c r="U48" s="250">
        <f t="shared" si="10"/>
        <v>0</v>
      </c>
      <c r="V48" s="249">
        <f>IF('NW - E7'!E37=0,0,IF('NW - E7'!E37&gt;=0,'NW - E7'!E37))</f>
        <v>0</v>
      </c>
      <c r="W48" s="206" t="str">
        <f t="shared" si="11"/>
        <v/>
      </c>
      <c r="X48" s="250">
        <f t="shared" si="12"/>
        <v>0</v>
      </c>
      <c r="Y48" s="249">
        <f>IF('NW - E7'!I37=0,0,IF('NW - E7'!I37&gt;=0,'NW - E7'!I37))</f>
        <v>0</v>
      </c>
      <c r="Z48" s="206" t="str">
        <f t="shared" si="13"/>
        <v/>
      </c>
      <c r="AA48" s="250">
        <f t="shared" si="14"/>
        <v>0</v>
      </c>
      <c r="AB48" s="249">
        <f>IF('NW - E7'!H37=0,0,IF('NW - E7'!H37&gt;=0,'NW - E7'!H37))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M7'!C49="","",IF('RIO - M7'!C49&gt;"",'RIO - M7'!C49))</f>
        <v/>
      </c>
      <c r="D49" s="149" t="str">
        <f>IF('NW - E7'!N38="","",IF('NW - E7'!N38="A+","A",IF('NW - E7'!N38="A","A",IF('NW - E7'!N38="B","B",IF('NW - E7'!N38="C","C",IF('NW - E7'!N38="C-","C",IF('NW - E7'!N38="D","D",IF('NW - E7'!N38="E","E"))))))))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E7'!D38=0,0,IF('NW - E7'!D38&gt;=0,'NW - E7'!D38))</f>
        <v>0</v>
      </c>
      <c r="Q49" s="206" t="str">
        <f t="shared" si="7"/>
        <v/>
      </c>
      <c r="R49" s="250">
        <f t="shared" si="8"/>
        <v>0</v>
      </c>
      <c r="S49" s="249">
        <f>IF('NW - E7'!F38=0,0,IF('NW - E7'!F38&gt;=0,'NW - E7'!F38))</f>
        <v>0</v>
      </c>
      <c r="T49" s="206" t="str">
        <f t="shared" si="9"/>
        <v/>
      </c>
      <c r="U49" s="250">
        <f t="shared" si="10"/>
        <v>0</v>
      </c>
      <c r="V49" s="249">
        <f>IF('NW - E7'!E38=0,0,IF('NW - E7'!E38&gt;=0,'NW - E7'!E38))</f>
        <v>0</v>
      </c>
      <c r="W49" s="206" t="str">
        <f t="shared" si="11"/>
        <v/>
      </c>
      <c r="X49" s="250">
        <f t="shared" si="12"/>
        <v>0</v>
      </c>
      <c r="Y49" s="249">
        <f>IF('NW - E7'!I38=0,0,IF('NW - E7'!I38&gt;=0,'NW - E7'!I38))</f>
        <v>0</v>
      </c>
      <c r="Z49" s="206" t="str">
        <f t="shared" si="13"/>
        <v/>
      </c>
      <c r="AA49" s="250">
        <f t="shared" si="14"/>
        <v>0</v>
      </c>
      <c r="AB49" s="249">
        <f>IF('NW - E7'!H38=0,0,IF('NW - E7'!H38&gt;=0,'NW - E7'!H38))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M7'!C50="","",IF('RIO - M7'!C50&gt;"",'RIO - M7'!C50))</f>
        <v/>
      </c>
      <c r="D50" s="149" t="str">
        <f>IF('NW - E7'!N39="","",IF('NW - E7'!N39="A+","A",IF('NW - E7'!N39="A","A",IF('NW - E7'!N39="B","B",IF('NW - E7'!N39="C","C",IF('NW - E7'!N39="C-","C",IF('NW - E7'!N39="D","D",IF('NW - E7'!N39="E","E"))))))))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E7'!D39=0,0,IF('NW - E7'!D39&gt;=0,'NW - E7'!D39))</f>
        <v>0</v>
      </c>
      <c r="Q50" s="206" t="str">
        <f t="shared" si="7"/>
        <v/>
      </c>
      <c r="R50" s="250">
        <f t="shared" si="8"/>
        <v>0</v>
      </c>
      <c r="S50" s="249">
        <f>IF('NW - E7'!F39=0,0,IF('NW - E7'!F39&gt;=0,'NW - E7'!F39))</f>
        <v>0</v>
      </c>
      <c r="T50" s="206" t="str">
        <f t="shared" si="9"/>
        <v/>
      </c>
      <c r="U50" s="250">
        <f t="shared" si="10"/>
        <v>0</v>
      </c>
      <c r="V50" s="249">
        <f>IF('NW - E7'!E39=0,0,IF('NW - E7'!E39&gt;=0,'NW - E7'!E39))</f>
        <v>0</v>
      </c>
      <c r="W50" s="206" t="str">
        <f t="shared" si="11"/>
        <v/>
      </c>
      <c r="X50" s="250">
        <f t="shared" si="12"/>
        <v>0</v>
      </c>
      <c r="Y50" s="249">
        <f>IF('NW - E7'!I39=0,0,IF('NW - E7'!I39&gt;=0,'NW - E7'!I39))</f>
        <v>0</v>
      </c>
      <c r="Z50" s="206" t="str">
        <f t="shared" si="13"/>
        <v/>
      </c>
      <c r="AA50" s="250">
        <f t="shared" si="14"/>
        <v>0</v>
      </c>
      <c r="AB50" s="249">
        <f>IF('NW - E7'!H39=0,0,IF('NW - E7'!H39&gt;=0,'NW - E7'!H39))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M7'!C51="","",IF('RIO - M7'!C51&gt;"",'RIO - M7'!C51))</f>
        <v/>
      </c>
      <c r="D51" s="149" t="str">
        <f>IF('NW - E7'!N40="","",IF('NW - E7'!N40="A+","A",IF('NW - E7'!N40="A","A",IF('NW - E7'!N40="B","B",IF('NW - E7'!N40="C","C",IF('NW - E7'!N40="C-","C",IF('NW - E7'!N40="D","D",IF('NW - E7'!N40="E","E"))))))))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E7'!D40=0,0,IF('NW - E7'!D40&gt;=0,'NW - E7'!D40))</f>
        <v>0</v>
      </c>
      <c r="Q51" s="206" t="str">
        <f t="shared" si="7"/>
        <v/>
      </c>
      <c r="R51" s="250">
        <f t="shared" si="8"/>
        <v>0</v>
      </c>
      <c r="S51" s="249">
        <f>IF('NW - E7'!F40=0,0,IF('NW - E7'!F40&gt;=0,'NW - E7'!F40))</f>
        <v>0</v>
      </c>
      <c r="T51" s="206" t="str">
        <f t="shared" si="9"/>
        <v/>
      </c>
      <c r="U51" s="250">
        <f t="shared" si="10"/>
        <v>0</v>
      </c>
      <c r="V51" s="249">
        <f>IF('NW - E7'!E40=0,0,IF('NW - E7'!E40&gt;=0,'NW - E7'!E40))</f>
        <v>0</v>
      </c>
      <c r="W51" s="206" t="str">
        <f t="shared" si="11"/>
        <v/>
      </c>
      <c r="X51" s="250">
        <f t="shared" si="12"/>
        <v>0</v>
      </c>
      <c r="Y51" s="249">
        <f>IF('NW - E7'!I40=0,0,IF('NW - E7'!I40&gt;=0,'NW - E7'!I40))</f>
        <v>0</v>
      </c>
      <c r="Z51" s="206" t="str">
        <f t="shared" si="13"/>
        <v/>
      </c>
      <c r="AA51" s="250">
        <f t="shared" si="14"/>
        <v>0</v>
      </c>
      <c r="AB51" s="249">
        <f>IF('NW - E7'!H40=0,0,IF('NW - E7'!H40&gt;=0,'NW - E7'!H40))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M7'!C52="","",IF('RIO - M7'!C52&gt;"",'RIO - M7'!C52))</f>
        <v/>
      </c>
      <c r="D52" s="149" t="str">
        <f>IF('NW - E7'!N41="","",IF('NW - E7'!N41="A+","A",IF('NW - E7'!N41="A","A",IF('NW - E7'!N41="B","B",IF('NW - E7'!N41="C","C",IF('NW - E7'!N41="C-","C",IF('NW - E7'!N41="D","D",IF('NW - E7'!N41="E","E"))))))))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E7'!D41=0,0,IF('NW - E7'!D41&gt;=0,'NW - E7'!D41))</f>
        <v>0</v>
      </c>
      <c r="Q52" s="207" t="str">
        <f t="shared" si="7"/>
        <v/>
      </c>
      <c r="R52" s="250">
        <f t="shared" si="8"/>
        <v>0</v>
      </c>
      <c r="S52" s="249">
        <f>IF('NW - E7'!F41=0,0,IF('NW - E7'!F41&gt;=0,'NW - E7'!F41))</f>
        <v>0</v>
      </c>
      <c r="T52" s="207" t="str">
        <f t="shared" si="9"/>
        <v/>
      </c>
      <c r="U52" s="250">
        <f t="shared" si="10"/>
        <v>0</v>
      </c>
      <c r="V52" s="249">
        <f>IF('NW - E7'!E41=0,0,IF('NW - E7'!E41&gt;=0,'NW - E7'!E41))</f>
        <v>0</v>
      </c>
      <c r="W52" s="207" t="str">
        <f t="shared" si="11"/>
        <v/>
      </c>
      <c r="X52" s="250">
        <f t="shared" si="12"/>
        <v>0</v>
      </c>
      <c r="Y52" s="249">
        <f>IF('NW - E7'!I41=0,0,IF('NW - E7'!I41&gt;=0,'NW - E7'!I41))</f>
        <v>0</v>
      </c>
      <c r="Z52" s="207" t="str">
        <f t="shared" si="13"/>
        <v/>
      </c>
      <c r="AA52" s="250">
        <f t="shared" si="14"/>
        <v>0</v>
      </c>
      <c r="AB52" s="249">
        <f>IF('NW - E7'!H41=0,0,IF('NW - E7'!H41&gt;=0,'NW - E7'!H41))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3</v>
      </c>
      <c r="C53" s="341" t="s">
        <v>76</v>
      </c>
      <c r="D53" s="342"/>
      <c r="E53" s="342"/>
      <c r="F53" s="342"/>
      <c r="G53" s="342"/>
      <c r="H53" s="342"/>
      <c r="I53" s="342"/>
      <c r="J53" s="342"/>
      <c r="K53" s="342"/>
      <c r="L53" s="342"/>
      <c r="M53" s="342"/>
      <c r="N53" s="343"/>
      <c r="O53" s="347">
        <f>IF(AD53=0,0,IF(AD53&gt;0,AD54))</f>
        <v>1</v>
      </c>
      <c r="P53" s="348"/>
      <c r="Q53" s="349"/>
      <c r="R53" s="350">
        <f>IF(AE53=0,0,IF(AE53&gt;0,AE54))</f>
        <v>1</v>
      </c>
      <c r="S53" s="348"/>
      <c r="T53" s="349"/>
      <c r="U53" s="350">
        <f>IF(AF53=0,0,IF(AF53&gt;0,AF54))</f>
        <v>1</v>
      </c>
      <c r="V53" s="348"/>
      <c r="W53" s="351"/>
      <c r="X53" s="347">
        <f>IF(AG53=0,0,IF(AG53&gt;0,AG54))</f>
        <v>1</v>
      </c>
      <c r="Y53" s="348"/>
      <c r="Z53" s="349"/>
      <c r="AA53" s="350">
        <f>IF(AH53=0,0,IF(AH53&gt;0,AH54))</f>
        <v>0</v>
      </c>
      <c r="AB53" s="348"/>
      <c r="AC53" s="351"/>
      <c r="AD53" s="173">
        <f>SUM(AD17:AD52)</f>
        <v>1</v>
      </c>
      <c r="AE53" s="126">
        <f>SUM(AE17:AE52)</f>
        <v>1</v>
      </c>
      <c r="AF53" s="126">
        <f>SUM(AF17:AF52)</f>
        <v>1</v>
      </c>
      <c r="AG53" s="126">
        <f>SUM(AG17:AG52)</f>
        <v>1</v>
      </c>
      <c r="AH53" s="126">
        <f>SUM(AH17:AH52)</f>
        <v>0</v>
      </c>
      <c r="AI53" s="127">
        <f>SUM(AV17:AV52)</f>
        <v>0.8</v>
      </c>
      <c r="AJ53" s="127">
        <f t="shared" ref="AJ53:AS53" si="42">SUM(AJ17:AJ52)</f>
        <v>0</v>
      </c>
      <c r="AK53" s="127">
        <f t="shared" si="42"/>
        <v>0</v>
      </c>
      <c r="AL53" s="127">
        <f t="shared" si="42"/>
        <v>0.8</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f>IF(AI53=0,"",IF(AI53&gt;0,$AI$54))</f>
        <v>0.26666666666666666</v>
      </c>
      <c r="AW53" s="129" t="str">
        <f>IF(AW54=0,"",IF(AW54&gt;0,AW54/AX54))</f>
        <v/>
      </c>
      <c r="AX53" s="1">
        <f>SUM(AX42:AX52)</f>
        <v>5</v>
      </c>
      <c r="AY53" s="130" t="str">
        <f>IF(L54=0,"",IF(L54&gt;0,AY54/L54))</f>
        <v/>
      </c>
      <c r="AZ53" s="131">
        <f>IF(B53=0,"",IF(B53&gt;0,AZ55/B53))</f>
        <v>1</v>
      </c>
      <c r="BA53" s="132"/>
      <c r="BB53" s="133" t="str">
        <f>IF(BD53=0,"",IF(BD53&gt;0,BD53/BB54))</f>
        <v/>
      </c>
      <c r="BC53" s="132"/>
      <c r="BD53" s="132">
        <f>SUM(BD17:BD52)</f>
        <v>0</v>
      </c>
      <c r="BE53" s="133" t="str">
        <f>IF(BG53=0,"",IF(BG53&gt;0,BG53/BE54))</f>
        <v/>
      </c>
      <c r="BF53" s="31"/>
      <c r="BG53" s="134">
        <f>SUM(BG17:BG52)</f>
        <v>0</v>
      </c>
    </row>
    <row r="54" spans="1:59" x14ac:dyDescent="0.2">
      <c r="B54" s="143">
        <f>COUNTIF(B17:B52,0)</f>
        <v>33</v>
      </c>
      <c r="C54" s="5"/>
      <c r="D54" s="5"/>
      <c r="E54" s="5"/>
      <c r="F54" s="5"/>
      <c r="G54" s="5"/>
      <c r="H54" s="5"/>
      <c r="I54" s="5"/>
      <c r="L54" s="5">
        <f>COUNTA(L17:L52)</f>
        <v>0</v>
      </c>
      <c r="M54" s="5">
        <f>COUNTA(M17:M52)</f>
        <v>0</v>
      </c>
      <c r="O54" s="332" t="s">
        <v>35</v>
      </c>
      <c r="P54" s="333"/>
      <c r="Q54" s="333"/>
      <c r="R54" s="333"/>
      <c r="S54" s="333"/>
      <c r="T54" s="333"/>
      <c r="U54" s="333"/>
      <c r="V54" s="333"/>
      <c r="W54" s="334"/>
      <c r="X54" s="338" t="s">
        <v>36</v>
      </c>
      <c r="Y54" s="339"/>
      <c r="Z54" s="339"/>
      <c r="AA54" s="339"/>
      <c r="AB54" s="339"/>
      <c r="AC54" s="340"/>
      <c r="AD54" s="135">
        <f t="shared" ref="AD54:AI54" si="43">AD53/AD56</f>
        <v>1</v>
      </c>
      <c r="AE54" s="135">
        <f t="shared" si="43"/>
        <v>1</v>
      </c>
      <c r="AF54" s="135">
        <f t="shared" si="43"/>
        <v>1</v>
      </c>
      <c r="AG54" s="135">
        <f t="shared" si="43"/>
        <v>1</v>
      </c>
      <c r="AH54" s="135">
        <f t="shared" si="43"/>
        <v>0</v>
      </c>
      <c r="AI54" s="135">
        <f t="shared" si="43"/>
        <v>0.26666666666666666</v>
      </c>
      <c r="AJ54" s="106">
        <f t="shared" ref="AJ54:AS54" si="44">AJ53/10</f>
        <v>0</v>
      </c>
      <c r="AK54" s="106">
        <f t="shared" si="44"/>
        <v>0</v>
      </c>
      <c r="AL54" s="106">
        <f t="shared" si="44"/>
        <v>0.08</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165</v>
      </c>
      <c r="AY54" s="136">
        <f>SUM(AY17:AY51)</f>
        <v>0</v>
      </c>
      <c r="AZ54" s="5">
        <f>COUNTA(AZ17:AZ52)</f>
        <v>0</v>
      </c>
      <c r="BA54" s="3"/>
      <c r="BB54" s="5">
        <f>COUNTA(BB17:BB52)</f>
        <v>0</v>
      </c>
      <c r="BC54" s="5"/>
      <c r="BD54" s="5"/>
      <c r="BE54" s="5">
        <f>COUNTA(BE17:BE52)</f>
        <v>0</v>
      </c>
      <c r="BF54" s="3"/>
      <c r="BG54" s="3"/>
    </row>
    <row r="55" spans="1:59" ht="13.5" thickBot="1" x14ac:dyDescent="0.25">
      <c r="L55" s="3"/>
      <c r="M55" s="3"/>
      <c r="O55" s="335">
        <f>IF(B54=0,"",IF(B54&gt;0,(O53+R53+U53)/3))</f>
        <v>1</v>
      </c>
      <c r="P55" s="336"/>
      <c r="Q55" s="336"/>
      <c r="R55" s="336"/>
      <c r="S55" s="336"/>
      <c r="T55" s="336"/>
      <c r="U55" s="336"/>
      <c r="V55" s="336"/>
      <c r="W55" s="337"/>
      <c r="X55" s="335">
        <f>IF(B54=0,"",IF(B54&gt;0,(X53+AA53)/2))</f>
        <v>0.5</v>
      </c>
      <c r="Y55" s="336"/>
      <c r="Z55" s="336"/>
      <c r="AA55" s="336"/>
      <c r="AB55" s="336"/>
      <c r="AC55" s="337"/>
      <c r="AD55" s="3">
        <f>COUNTIF(O17:O52,0)</f>
        <v>35</v>
      </c>
      <c r="AE55" s="3">
        <f>COUNTIF(R17:R52,0)</f>
        <v>35</v>
      </c>
      <c r="AF55" s="3">
        <f>COUNTIF(U17:U52,0)</f>
        <v>35</v>
      </c>
      <c r="AG55" s="3">
        <f>COUNTIF(X17:X52,0)</f>
        <v>35</v>
      </c>
      <c r="AH55" s="3">
        <f>COUNTIF(AA17:AA52,0)</f>
        <v>35</v>
      </c>
      <c r="AI55" s="3">
        <f>COUNTIF(AV17:AV52,"")</f>
        <v>33</v>
      </c>
      <c r="AJ55" s="106" t="e">
        <f>AJ53/K65*K67</f>
        <v>#DIV/0!</v>
      </c>
      <c r="AK55" s="106" t="e">
        <f>AK53/L65*L67</f>
        <v>#DIV/0!</v>
      </c>
      <c r="AL55" s="106">
        <f>AL53/M65*M67</f>
        <v>0.26666666666666666</v>
      </c>
      <c r="AM55" s="106">
        <f>AM53/N65*N67</f>
        <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3</v>
      </c>
      <c r="BA55" s="3"/>
      <c r="BB55" s="5"/>
      <c r="BC55" s="5"/>
      <c r="BD55" s="5"/>
      <c r="BE55" s="5"/>
      <c r="BF55" s="3"/>
      <c r="BG55" s="3"/>
    </row>
    <row r="56" spans="1:59" ht="20.25" thickBot="1" x14ac:dyDescent="0.45">
      <c r="B56" s="46" t="s">
        <v>7</v>
      </c>
      <c r="C56" s="174"/>
      <c r="D56" s="174"/>
      <c r="E56" s="174"/>
      <c r="F56" s="174"/>
      <c r="G56" s="174"/>
      <c r="H56" s="174"/>
      <c r="I56" s="174"/>
      <c r="J56" s="329">
        <f>J1</f>
        <v>7</v>
      </c>
      <c r="K56" s="330"/>
      <c r="L56" s="331"/>
      <c r="M56" s="32"/>
      <c r="O56" s="137"/>
      <c r="P56" s="137"/>
      <c r="Q56" s="137"/>
      <c r="R56" s="137"/>
      <c r="S56" s="137"/>
      <c r="T56" s="137"/>
      <c r="U56" s="137"/>
      <c r="V56" s="137"/>
      <c r="W56" s="137"/>
      <c r="X56" s="137"/>
      <c r="Y56" s="137"/>
      <c r="Z56" s="137"/>
      <c r="AA56" s="137"/>
      <c r="AB56" s="137"/>
      <c r="AC56" s="137"/>
      <c r="AD56" s="3">
        <f t="shared" ref="AD56:AI56" si="45">36-AD55</f>
        <v>1</v>
      </c>
      <c r="AE56" s="3">
        <f t="shared" si="45"/>
        <v>1</v>
      </c>
      <c r="AF56" s="3">
        <f t="shared" si="45"/>
        <v>1</v>
      </c>
      <c r="AG56" s="3">
        <f t="shared" si="45"/>
        <v>1</v>
      </c>
      <c r="AH56" s="3">
        <f t="shared" si="45"/>
        <v>1</v>
      </c>
      <c r="AI56" s="3">
        <f t="shared" si="45"/>
        <v>3</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0">
        <f>J2</f>
        <v>0</v>
      </c>
      <c r="K57" s="321"/>
      <c r="L57" s="322"/>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f>AD54</f>
        <v>1</v>
      </c>
      <c r="K60" s="106">
        <f>AE54</f>
        <v>1</v>
      </c>
      <c r="L60" s="106">
        <f>AF54</f>
        <v>1</v>
      </c>
      <c r="M60" s="106">
        <f>AG54</f>
        <v>1</v>
      </c>
      <c r="N60" s="106">
        <f>AH54</f>
        <v>0</v>
      </c>
      <c r="O60" s="106">
        <f>$AV$53</f>
        <v>0.26666666666666666</v>
      </c>
      <c r="P60" s="140" t="str">
        <f>$AW$53</f>
        <v/>
      </c>
      <c r="Q60" s="106">
        <f>$AZ$53</f>
        <v>1</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2</v>
      </c>
      <c r="N65" s="1">
        <f>COUNTIF($J$17:$J$52,"D")</f>
        <v>1</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f>K65/$B$53</f>
        <v>0</v>
      </c>
      <c r="L67" s="106">
        <f>L65/$B$53</f>
        <v>0</v>
      </c>
      <c r="M67" s="106">
        <f>M65/$B$53</f>
        <v>0.66666666666666663</v>
      </c>
      <c r="N67" s="106">
        <f>N65/$B$53</f>
        <v>0.33333333333333331</v>
      </c>
      <c r="O67" s="106">
        <f>O65/$B$53</f>
        <v>0</v>
      </c>
      <c r="P67" s="106"/>
      <c r="Q67" s="106"/>
    </row>
    <row r="68" spans="10:17" x14ac:dyDescent="0.2">
      <c r="J68" s="142" t="s">
        <v>85</v>
      </c>
      <c r="K68" s="106" t="e">
        <f>AJ55</f>
        <v>#DIV/0!</v>
      </c>
      <c r="L68" s="106" t="e">
        <f>AK55</f>
        <v>#DIV/0!</v>
      </c>
      <c r="M68" s="106">
        <f>AL55</f>
        <v>0.26666666666666666</v>
      </c>
      <c r="N68" s="106">
        <f>AM55</f>
        <v>0</v>
      </c>
      <c r="O68" s="106" t="e">
        <f>AN55</f>
        <v>#DIV/0!</v>
      </c>
      <c r="P68" s="106"/>
      <c r="Q68" s="106"/>
    </row>
    <row r="69" spans="10:17" x14ac:dyDescent="0.2">
      <c r="J69" s="142" t="s">
        <v>86</v>
      </c>
      <c r="K69" s="106">
        <f>K66/$B$53</f>
        <v>0</v>
      </c>
      <c r="L69" s="106">
        <f>L66/$B$53</f>
        <v>0</v>
      </c>
      <c r="M69" s="106">
        <f>M66/$B$53</f>
        <v>0</v>
      </c>
      <c r="N69" s="106">
        <f>N66/$B$53</f>
        <v>0</v>
      </c>
      <c r="O69" s="106">
        <f>O66/$B$53</f>
        <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f>IF($E$6="ja",K67,IF($E6="nee",K69))</f>
        <v>0</v>
      </c>
      <c r="L71" s="106">
        <f>IF($E$6="ja",L67,IF($E6="nee",L69))</f>
        <v>0</v>
      </c>
      <c r="M71" s="106">
        <f>IF($E$6="ja",M67,IF($E6="nee",M69))</f>
        <v>0.66666666666666663</v>
      </c>
      <c r="N71" s="106">
        <f>IF($E$6="ja",N67,IF($E6="nee",N69))</f>
        <v>0.33333333333333331</v>
      </c>
      <c r="O71" s="106">
        <f>IF($E$6="ja",O67,IF($E6="nee",O69))</f>
        <v>0</v>
      </c>
      <c r="P71" s="106"/>
      <c r="Q71" s="106"/>
    </row>
    <row r="72" spans="10:17" x14ac:dyDescent="0.2">
      <c r="J72" s="142" t="s">
        <v>89</v>
      </c>
      <c r="K72" s="106" t="e">
        <f>IF($E$6="ja",K68,IF($E$6="nee",K70))</f>
        <v>#DIV/0!</v>
      </c>
      <c r="L72" s="106" t="e">
        <f>IF($E$6="ja",L68,IF($E$6="nee",L70))</f>
        <v>#DIV/0!</v>
      </c>
      <c r="M72" s="106">
        <f>IF($E$6="ja",M68,IF($E$6="nee",M70))</f>
        <v>0.26666666666666666</v>
      </c>
      <c r="N72" s="106">
        <f>IF($E$6="ja",N68,IF($E$6="nee",N70))</f>
        <v>0</v>
      </c>
      <c r="O72" s="106" t="e">
        <f>IF($E$6="ja",O68,IF($E$6="nee",O70))</f>
        <v>#DIV/0!</v>
      </c>
      <c r="P72" s="106"/>
      <c r="Q72" s="106"/>
    </row>
  </sheetData>
  <sheetProtection algorithmName="SHA-512" hashValue="kPqAwvZ3QCCupeIa110oO+TVAQ6mvhpssXKTVpu3rJBZNKwN1lwVfN8/Ia0SSBIDEoOgu1qOoQxGwO9dQtDeyg==" saltValue="B+BbvNzX5InNkdxrfa91lA==" spinCount="100000" sheet="1" objects="1" scenarios="1"/>
  <mergeCells count="20">
    <mergeCell ref="R53:T53"/>
    <mergeCell ref="U53:W53"/>
    <mergeCell ref="X53:Z53"/>
    <mergeCell ref="AA53:AC53"/>
    <mergeCell ref="J57:L57"/>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s>
  <phoneticPr fontId="3" type="noConversion"/>
  <conditionalFormatting sqref="AZ17:AZ52">
    <cfRule type="cellIs" dxfId="236" priority="5" stopIfTrue="1" operator="equal">
      <formula>"x"</formula>
    </cfRule>
    <cfRule type="expression" dxfId="235" priority="6" stopIfTrue="1">
      <formula>$B17&gt;0</formula>
    </cfRule>
    <cfRule type="cellIs" dxfId="234" priority="7" stopIfTrue="1" operator="equal">
      <formula>""</formula>
    </cfRule>
  </conditionalFormatting>
  <conditionalFormatting sqref="BB17:BB52">
    <cfRule type="expression" dxfId="233" priority="8" stopIfTrue="1">
      <formula>$BC17=""</formula>
    </cfRule>
    <cfRule type="expression" dxfId="232" priority="9" stopIfTrue="1">
      <formula>$BC17&lt;$BA17</formula>
    </cfRule>
    <cfRule type="expression" dxfId="231" priority="10" stopIfTrue="1">
      <formula>$BC17&gt;=$BA17</formula>
    </cfRule>
  </conditionalFormatting>
  <conditionalFormatting sqref="BE17:BE52">
    <cfRule type="expression" dxfId="230" priority="11" stopIfTrue="1">
      <formula>$BF17=""</formula>
    </cfRule>
    <cfRule type="expression" dxfId="229" priority="12" stopIfTrue="1">
      <formula>$BF17&lt;$BC17</formula>
    </cfRule>
    <cfRule type="expression" dxfId="228" priority="13" stopIfTrue="1">
      <formula>$BF17&gt;=$BC17</formula>
    </cfRule>
  </conditionalFormatting>
  <conditionalFormatting sqref="E17:E52">
    <cfRule type="expression" dxfId="227" priority="17" stopIfTrue="1">
      <formula>$E17=""</formula>
    </cfRule>
    <cfRule type="expression" dxfId="226" priority="18" stopIfTrue="1">
      <formula>$E17&gt;$C17</formula>
    </cfRule>
    <cfRule type="expression" dxfId="225" priority="19" stopIfTrue="1">
      <formula>$E17&lt;$C17</formula>
    </cfRule>
  </conditionalFormatting>
  <conditionalFormatting sqref="B17:B52">
    <cfRule type="cellIs" dxfId="224" priority="20" stopIfTrue="1" operator="equal">
      <formula>""</formula>
    </cfRule>
    <cfRule type="cellIs" dxfId="223" priority="21" stopIfTrue="1" operator="equal">
      <formula>0</formula>
    </cfRule>
    <cfRule type="expression" dxfId="222" priority="22" stopIfTrue="1">
      <formula>$AV17&lt;0.8</formula>
    </cfRule>
  </conditionalFormatting>
  <conditionalFormatting sqref="E6:E7 J8:K8">
    <cfRule type="cellIs" dxfId="221" priority="23" stopIfTrue="1" operator="equal">
      <formula>"ja"</formula>
    </cfRule>
    <cfRule type="cellIs" dxfId="220" priority="24" stopIfTrue="1" operator="equal">
      <formula>"nee"</formula>
    </cfRule>
  </conditionalFormatting>
  <conditionalFormatting sqref="BA17:BA52 BG53 BA53:BE53">
    <cfRule type="expression" dxfId="219" priority="25" stopIfTrue="1">
      <formula>$U$2="ja"</formula>
    </cfRule>
    <cfRule type="expression" dxfId="218" priority="26" stopIfTrue="1">
      <formula>$X$2="ja"</formula>
    </cfRule>
  </conditionalFormatting>
  <conditionalFormatting sqref="BE10:BE12 BB10:BB12">
    <cfRule type="expression" dxfId="217" priority="27" stopIfTrue="1">
      <formula>$X$2="ja"</formula>
    </cfRule>
  </conditionalFormatting>
  <conditionalFormatting sqref="BC17:BD52 BF17:BG52">
    <cfRule type="expression" dxfId="216" priority="28" stopIfTrue="1">
      <formula>$X$2="ja"</formula>
    </cfRule>
  </conditionalFormatting>
  <conditionalFormatting sqref="AW53">
    <cfRule type="cellIs" dxfId="215" priority="29" stopIfTrue="1" operator="equal">
      <formula>""</formula>
    </cfRule>
    <cfRule type="cellIs" dxfId="214" priority="30" stopIfTrue="1" operator="greaterThan">
      <formula>0.03</formula>
    </cfRule>
  </conditionalFormatting>
  <conditionalFormatting sqref="AW17:AW52">
    <cfRule type="cellIs" dxfId="213" priority="31" stopIfTrue="1" operator="equal">
      <formula>1</formula>
    </cfRule>
    <cfRule type="cellIs" dxfId="212" priority="32" stopIfTrue="1" operator="equal">
      <formula>""</formula>
    </cfRule>
  </conditionalFormatting>
  <conditionalFormatting sqref="AY17:AY52">
    <cfRule type="cellIs" dxfId="211" priority="33" stopIfTrue="1" operator="equal">
      <formula>1</formula>
    </cfRule>
    <cfRule type="cellIs" dxfId="210" priority="34" stopIfTrue="1" operator="lessThan">
      <formula>1</formula>
    </cfRule>
    <cfRule type="cellIs" dxfId="209" priority="35" stopIfTrue="1" operator="equal">
      <formula>""</formula>
    </cfRule>
  </conditionalFormatting>
  <conditionalFormatting sqref="AV10:AV12">
    <cfRule type="cellIs" dxfId="208" priority="36" stopIfTrue="1" operator="equal">
      <formula>1</formula>
    </cfRule>
    <cfRule type="cellIs" dxfId="207" priority="37" stopIfTrue="1" operator="lessThan">
      <formula>1</formula>
    </cfRule>
  </conditionalFormatting>
  <conditionalFormatting sqref="N10:N12">
    <cfRule type="expression" dxfId="206" priority="38" stopIfTrue="1">
      <formula>$U$2="ja"</formula>
    </cfRule>
    <cfRule type="expression" dxfId="205" priority="39" stopIfTrue="1">
      <formula>$X$2="ja"</formula>
    </cfRule>
  </conditionalFormatting>
  <conditionalFormatting sqref="O10:Q12">
    <cfRule type="expression" dxfId="204" priority="40" stopIfTrue="1">
      <formula>$U$1="ja"</formula>
    </cfRule>
    <cfRule type="expression" dxfId="203" priority="41" stopIfTrue="1">
      <formula>$X$1="ja"</formula>
    </cfRule>
    <cfRule type="expression" dxfId="202" priority="42" stopIfTrue="1">
      <formula>$AD$1="ja"</formula>
    </cfRule>
  </conditionalFormatting>
  <conditionalFormatting sqref="R10:T12">
    <cfRule type="expression" dxfId="201" priority="43" stopIfTrue="1">
      <formula>$AA$1="ja"</formula>
    </cfRule>
    <cfRule type="expression" dxfId="200" priority="44" stopIfTrue="1">
      <formula>$AD$1="ja"</formula>
    </cfRule>
  </conditionalFormatting>
  <conditionalFormatting sqref="U11:U12">
    <cfRule type="expression" dxfId="199" priority="45" stopIfTrue="1">
      <formula>$AD$1="ja"</formula>
    </cfRule>
  </conditionalFormatting>
  <conditionalFormatting sqref="X10:X12 AA10:AC12">
    <cfRule type="expression" dxfId="198" priority="46" stopIfTrue="1">
      <formula>$X$1="ja"</formula>
    </cfRule>
    <cfRule type="expression" dxfId="197" priority="47" stopIfTrue="1">
      <formula>$AA$1="ja"</formula>
    </cfRule>
    <cfRule type="expression" dxfId="196" priority="48" stopIfTrue="1">
      <formula>$AD$1="ja"</formula>
    </cfRule>
  </conditionalFormatting>
  <conditionalFormatting sqref="AU17:AU52">
    <cfRule type="cellIs" dxfId="195" priority="49" stopIfTrue="1" operator="notEqual">
      <formula>""</formula>
    </cfRule>
  </conditionalFormatting>
  <conditionalFormatting sqref="M17:M52">
    <cfRule type="cellIs" dxfId="194" priority="50" stopIfTrue="1" operator="equal">
      <formula>"x"</formula>
    </cfRule>
    <cfRule type="cellIs" dxfId="193" priority="51" stopIfTrue="1" operator="equal">
      <formula>""</formula>
    </cfRule>
  </conditionalFormatting>
  <conditionalFormatting sqref="H17:I52">
    <cfRule type="cellIs" dxfId="192" priority="52" stopIfTrue="1" operator="equal">
      <formula>""</formula>
    </cfRule>
  </conditionalFormatting>
  <conditionalFormatting sqref="L17:L52">
    <cfRule type="cellIs" dxfId="191" priority="53" stopIfTrue="1" operator="equal">
      <formula>"x"</formula>
    </cfRule>
    <cfRule type="cellIs" dxfId="190" priority="54" stopIfTrue="1" operator="equal">
      <formula>""</formula>
    </cfRule>
  </conditionalFormatting>
  <conditionalFormatting sqref="N17:N52">
    <cfRule type="cellIs" dxfId="189" priority="55" stopIfTrue="1" operator="equal">
      <formula>""</formula>
    </cfRule>
    <cfRule type="cellIs" dxfId="188" priority="56" stopIfTrue="1" operator="greaterThan">
      <formula>""</formula>
    </cfRule>
  </conditionalFormatting>
  <conditionalFormatting sqref="J17:K52">
    <cfRule type="cellIs" dxfId="187" priority="57" stopIfTrue="1" operator="equal">
      <formula>""</formula>
    </cfRule>
  </conditionalFormatting>
  <conditionalFormatting sqref="F17:G52">
    <cfRule type="expression" dxfId="186" priority="58" stopIfTrue="1">
      <formula>""</formula>
    </cfRule>
  </conditionalFormatting>
  <conditionalFormatting sqref="S17:S52 V17:V52 Y17:Y52 P17:P52 AB17:AB52">
    <cfRule type="cellIs" dxfId="185" priority="59" stopIfTrue="1" operator="equal">
      <formula>0</formula>
    </cfRule>
    <cfRule type="cellIs" dxfId="184" priority="60" stopIfTrue="1" operator="greaterThan">
      <formula>0</formula>
    </cfRule>
  </conditionalFormatting>
  <conditionalFormatting sqref="Q17:Q52 T17:T52 W17:W52 Z17:Z52 AC17:AC52">
    <cfRule type="cellIs" dxfId="183" priority="61" stopIfTrue="1" operator="equal">
      <formula>""</formula>
    </cfRule>
    <cfRule type="cellIs" dxfId="182" priority="62" stopIfTrue="1" operator="greaterThanOrEqual">
      <formula>1.3</formula>
    </cfRule>
    <cfRule type="cellIs" dxfId="181" priority="63" stopIfTrue="1" operator="lessThan">
      <formula>0.8</formula>
    </cfRule>
  </conditionalFormatting>
  <conditionalFormatting sqref="AV17:AV52">
    <cfRule type="cellIs" dxfId="180" priority="64" stopIfTrue="1" operator="equal">
      <formula>1</formula>
    </cfRule>
    <cfRule type="cellIs" dxfId="179" priority="65" stopIfTrue="1" operator="lessThan">
      <formula>0.8</formula>
    </cfRule>
    <cfRule type="cellIs" dxfId="178" priority="66" stopIfTrue="1" operator="between">
      <formula>0.8</formula>
      <formula>1</formula>
    </cfRule>
  </conditionalFormatting>
  <conditionalFormatting sqref="D17:D52">
    <cfRule type="cellIs" dxfId="177" priority="67" stopIfTrue="1" operator="equal">
      <formula>""</formula>
    </cfRule>
    <cfRule type="cellIs" dxfId="176" priority="68" stopIfTrue="1" operator="greaterThan">
      <formula>""</formula>
    </cfRule>
  </conditionalFormatting>
  <conditionalFormatting sqref="O17:O52">
    <cfRule type="cellIs" dxfId="175" priority="69" stopIfTrue="1" operator="equal">
      <formula>0</formula>
    </cfRule>
    <cfRule type="expression" dxfId="174" priority="70" stopIfTrue="1">
      <formula>$Q17&gt;=0.8</formula>
    </cfRule>
    <cfRule type="expression" dxfId="173" priority="71" stopIfTrue="1">
      <formula>$Q17&lt;0.8</formula>
    </cfRule>
  </conditionalFormatting>
  <conditionalFormatting sqref="R17:R52">
    <cfRule type="cellIs" dxfId="172" priority="72" stopIfTrue="1" operator="equal">
      <formula>0</formula>
    </cfRule>
    <cfRule type="expression" dxfId="171" priority="73" stopIfTrue="1">
      <formula>$T17&gt;=0.8</formula>
    </cfRule>
    <cfRule type="expression" dxfId="170" priority="74" stopIfTrue="1">
      <formula>$T17&lt;0.8</formula>
    </cfRule>
  </conditionalFormatting>
  <conditionalFormatting sqref="U17:U52">
    <cfRule type="cellIs" dxfId="169" priority="75" stopIfTrue="1" operator="equal">
      <formula>0</formula>
    </cfRule>
    <cfRule type="expression" dxfId="168" priority="76" stopIfTrue="1">
      <formula>$W17&gt;=0.8</formula>
    </cfRule>
    <cfRule type="expression" dxfId="167" priority="77" stopIfTrue="1">
      <formula>$W17&lt;0.8</formula>
    </cfRule>
  </conditionalFormatting>
  <conditionalFormatting sqref="X17:X52">
    <cfRule type="cellIs" dxfId="166" priority="78" stopIfTrue="1" operator="equal">
      <formula>0</formula>
    </cfRule>
    <cfRule type="expression" dxfId="165" priority="79" stopIfTrue="1">
      <formula>$Z17&gt;=0.8</formula>
    </cfRule>
    <cfRule type="expression" dxfId="164" priority="80" stopIfTrue="1">
      <formula>$Z17&lt;0.8</formula>
    </cfRule>
  </conditionalFormatting>
  <conditionalFormatting sqref="AA17:AA52">
    <cfRule type="cellIs" dxfId="163" priority="81" stopIfTrue="1" operator="equal">
      <formula>0</formula>
    </cfRule>
    <cfRule type="expression" dxfId="162" priority="82" stopIfTrue="1">
      <formula>$AC17&gt;=0.8</formula>
    </cfRule>
    <cfRule type="expression" dxfId="161" priority="83" stopIfTrue="1">
      <formula>$AC17&lt;0.8</formula>
    </cfRule>
  </conditionalFormatting>
  <conditionalFormatting sqref="Y10:Z12">
    <cfRule type="expression" dxfId="160" priority="163" stopIfTrue="1">
      <formula>$AA$1="ja"</formula>
    </cfRule>
    <cfRule type="expression" dxfId="159" priority="164" stopIfTrue="1">
      <formula>$AD$1="ja"</formula>
    </cfRule>
    <cfRule type="expression" dxfId="158" priority="165" stopIfTrue="1">
      <formula>$X$1="ja"</formula>
    </cfRule>
  </conditionalFormatting>
  <conditionalFormatting sqref="U10 V10:W12">
    <cfRule type="expression" dxfId="157" priority="166" stopIfTrue="1">
      <formula>$AD$1="ja"</formula>
    </cfRule>
  </conditionalFormatting>
  <conditionalFormatting sqref="C17:C52">
    <cfRule type="expression" dxfId="156" priority="2" stopIfTrue="1">
      <formula>$C17=""</formula>
    </cfRule>
    <cfRule type="expression" dxfId="155" priority="3" stopIfTrue="1">
      <formula>$C17&gt;$E17</formula>
    </cfRule>
    <cfRule type="expression" dxfId="154" priority="4" stopIfTrue="1">
      <formula>$C17&lt;$E17</formula>
    </cfRule>
  </conditionalFormatting>
  <conditionalFormatting sqref="AT17:AT52">
    <cfRule type="cellIs" dxfId="153"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V39"/>
  <sheetViews>
    <sheetView showGridLines="0" showRowColHeaders="0" zoomScale="75" zoomScaleNormal="85" workbookViewId="0">
      <selection activeCell="F4" sqref="F4"/>
    </sheetView>
  </sheetViews>
  <sheetFormatPr defaultRowHeight="12.75" x14ac:dyDescent="0.2"/>
  <cols>
    <col min="1" max="1" width="4" bestFit="1" customWidth="1"/>
    <col min="2" max="2" width="20.7109375" style="33" customWidth="1"/>
    <col min="3" max="3" width="4" customWidth="1"/>
    <col min="5" max="5" width="18" customWidth="1"/>
    <col min="19" max="19" width="18.140625" style="1" bestFit="1" customWidth="1"/>
    <col min="20" max="20" width="12.85546875" style="1" customWidth="1"/>
    <col min="21" max="21" width="18.28515625" style="1" bestFit="1" customWidth="1"/>
    <col min="22" max="22" width="15.42578125" style="1" bestFit="1" customWidth="1"/>
  </cols>
  <sheetData>
    <row r="1" spans="1:22" ht="13.5" thickBot="1" x14ac:dyDescent="0.25"/>
    <row r="2" spans="1:22" ht="21.75" thickBot="1" x14ac:dyDescent="0.45">
      <c r="A2" s="41"/>
      <c r="B2" s="42" t="str">
        <f>BEGINBLAD!A5</f>
        <v>namen leerlingen:</v>
      </c>
      <c r="D2" s="354" t="s">
        <v>7</v>
      </c>
      <c r="E2" s="361"/>
      <c r="F2" s="311">
        <v>7</v>
      </c>
      <c r="G2" s="355" t="str">
        <f>VLOOKUP($F$4,BEGINBLAD!A1:C41,2)</f>
        <v>leerling 2</v>
      </c>
      <c r="H2" s="355"/>
      <c r="I2" s="355"/>
      <c r="J2" s="355"/>
      <c r="K2" s="355"/>
      <c r="L2" s="355"/>
      <c r="M2" s="355"/>
      <c r="N2" s="356"/>
      <c r="S2" s="220" t="s">
        <v>106</v>
      </c>
      <c r="T2" s="232" t="s">
        <v>55</v>
      </c>
      <c r="U2" s="232" t="s">
        <v>107</v>
      </c>
      <c r="V2" s="233" t="s">
        <v>108</v>
      </c>
    </row>
    <row r="3" spans="1:22" ht="13.5" thickBot="1" x14ac:dyDescent="0.25">
      <c r="A3" s="37">
        <f>BEGINBLAD!A6</f>
        <v>1</v>
      </c>
      <c r="B3" s="38" t="str">
        <f>BEGINBLAD!B6</f>
        <v>leerling 1</v>
      </c>
    </row>
    <row r="4" spans="1:22" ht="21.75" thickBot="1" x14ac:dyDescent="0.45">
      <c r="A4" s="37">
        <f>BEGINBLAD!A7</f>
        <v>2</v>
      </c>
      <c r="B4" s="38" t="str">
        <f>BEGINBLAD!B7</f>
        <v>leerling 2</v>
      </c>
      <c r="D4" s="352" t="s">
        <v>24</v>
      </c>
      <c r="E4" s="353"/>
      <c r="F4" s="217">
        <v>2</v>
      </c>
      <c r="G4" s="357" t="s">
        <v>145</v>
      </c>
      <c r="H4" s="358"/>
      <c r="I4" s="359">
        <f>VLOOKUP($F$4,BEGINBLAD!A6:C41,3)</f>
        <v>38056</v>
      </c>
      <c r="J4" s="359"/>
      <c r="K4" s="359"/>
      <c r="L4" s="359"/>
      <c r="M4" s="359"/>
      <c r="N4" s="360"/>
      <c r="S4" s="220" t="s">
        <v>109</v>
      </c>
      <c r="T4" s="224" t="str">
        <f>VLOOKUP($F$4,'RIO - E7'!$A$17:$AB$52,10)</f>
        <v>D</v>
      </c>
      <c r="U4" s="231">
        <f>VLOOKUP($F$4,'RIO - E7'!$A$17:$AB$52,11)</f>
        <v>1.6</v>
      </c>
      <c r="V4" s="230">
        <v>1</v>
      </c>
    </row>
    <row r="5" spans="1:22" x14ac:dyDescent="0.2">
      <c r="A5" s="37">
        <f>BEGINBLAD!A8</f>
        <v>3</v>
      </c>
      <c r="B5" s="38" t="str">
        <f>BEGINBLAD!B8</f>
        <v>leerling 3</v>
      </c>
    </row>
    <row r="6" spans="1:22" ht="15" x14ac:dyDescent="0.3">
      <c r="A6" s="37">
        <f>BEGINBLAD!A9</f>
        <v>4</v>
      </c>
      <c r="B6" s="38">
        <f>BEGINBLAD!B9</f>
        <v>0</v>
      </c>
      <c r="S6" s="239" t="s">
        <v>8</v>
      </c>
      <c r="T6" s="246">
        <f>VLOOKUP($F$4,'RIO - E7'!$A$17:$AB$52,15)</f>
        <v>0</v>
      </c>
      <c r="U6" s="240">
        <f>VLOOKUP($F$4,'RIO - E7'!$A$17:$AB$52,16)</f>
        <v>0</v>
      </c>
      <c r="V6" s="241" t="str">
        <f>VLOOKUP($F$4,'RIO - E7'!$A$17:$AB$52,17)</f>
        <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f>VLOOKUP($F$4,'RIO - E7'!$A$17:$AB$52,18)</f>
        <v>0</v>
      </c>
      <c r="U8" s="227">
        <f>VLOOKUP($F$4,'RIO - E7'!$A$17:$AB$52,19)</f>
        <v>0</v>
      </c>
      <c r="V8" s="225" t="str">
        <f>VLOOKUP($F$4,'RIO - E7'!$A$17:$AB$52,20)</f>
        <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t="str">
        <f>VLOOKUP($F$4,'RIO - E7'!$A$17:$AB$52,17)</f>
        <v/>
      </c>
      <c r="G10" s="219" t="str">
        <f>VLOOKUP($F$4,'RIO - E7'!$A$17:$AB$52,20)</f>
        <v/>
      </c>
      <c r="H10" s="219" t="str">
        <f>VLOOKUP($F$4,'RIO - E7'!$A$17:$AB$52,23)</f>
        <v/>
      </c>
      <c r="I10" s="219" t="str">
        <f>VLOOKUP($F$4,'RIO - E7'!$A$17:$AB$52,26)</f>
        <v/>
      </c>
      <c r="J10" s="219" t="str">
        <f>VLOOKUP($F$4,'RIO - E7'!$A$17:$AC$52,29)</f>
        <v/>
      </c>
      <c r="K10" s="219" t="str">
        <f>VLOOKUP($F$4,'RIO - E7'!$A$17:$AB$52,10)</f>
        <v>D</v>
      </c>
      <c r="L10" s="32"/>
      <c r="M10" s="32"/>
      <c r="S10" s="221" t="s">
        <v>10</v>
      </c>
      <c r="T10" s="247">
        <f>VLOOKUP($F$4,'RIO - E7'!$A$17:$AB$52,21)</f>
        <v>0</v>
      </c>
      <c r="U10" s="227">
        <f>VLOOKUP($F$4,'RIO - E7'!$A$17:$AB$52,22)</f>
        <v>0</v>
      </c>
      <c r="V10" s="225" t="str">
        <f>VLOOKUP($F$4,'RIO - E7'!$A$17:$AB$52,23)</f>
        <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t="e">
        <f>F10*L12</f>
        <v>#VALUE!</v>
      </c>
      <c r="G12" s="218" t="e">
        <f>G10*L12</f>
        <v>#VALUE!</v>
      </c>
      <c r="H12" s="218" t="e">
        <f>H10*L12</f>
        <v>#VALUE!</v>
      </c>
      <c r="I12" s="218" t="e">
        <f>I10*L12</f>
        <v>#VALUE!</v>
      </c>
      <c r="J12" s="218" t="e">
        <f>J10*L12</f>
        <v>#VALUE!</v>
      </c>
      <c r="K12" s="218">
        <f>0.8*L12</f>
        <v>0.32000000000000006</v>
      </c>
      <c r="L12" s="218">
        <f>IF(K10="A",1,IF(K10="B",0.8,IF(K10="C",0.6,IF(K10="D",0.4,IF(K10="E",0.2)))))</f>
        <v>0.4</v>
      </c>
      <c r="S12" s="221" t="s">
        <v>11</v>
      </c>
      <c r="T12" s="247">
        <f>VLOOKUP($F$4,'RIO - E7'!$A$17:$AB$52,24)</f>
        <v>0</v>
      </c>
      <c r="U12" s="227">
        <f>VLOOKUP($F$4,'RIO - E7'!$A$17:$AB$52,25)</f>
        <v>0</v>
      </c>
      <c r="V12" s="225" t="str">
        <f>VLOOKUP($F$4,'RIO - E7'!$A$17:$AB$52,26)</f>
        <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f>VLOOKUP($F$4,'RIO - E7'!$A$17:$AC$52,27)</f>
        <v>0</v>
      </c>
      <c r="U14" s="229">
        <f>VLOOKUP($F$4,'RIO - E7'!$A$17:$AC$52,28)</f>
        <v>0</v>
      </c>
      <c r="V14" s="226" t="str">
        <f>VLOOKUP($F$4,'RIO - E7'!$A$17:$AC$52,29)</f>
        <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
      </c>
      <c r="U16" s="234">
        <f>AVERAGE(U6:U14)</f>
        <v>0</v>
      </c>
      <c r="V16" s="235">
        <f>VLOOKUP($F$4,'RIO - E7'!$A$17:$AC$52,14)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f>(U4/8)*10</f>
        <v>2</v>
      </c>
    </row>
    <row r="20" spans="1:21" x14ac:dyDescent="0.2">
      <c r="A20" s="37">
        <f>BEGINBLAD!A23</f>
        <v>18</v>
      </c>
      <c r="B20" s="38">
        <f>BEGINBLAD!B23</f>
        <v>0</v>
      </c>
      <c r="U20" s="5">
        <f>U4*0.8</f>
        <v>1.2800000000000002</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rf7Pqw8PH7K3Rld6VNkAS0u6sy7+Cn0SXj2UowhZMQQuXh99OCnqbuf+9Rr22Smb1TAhIufZRc83++srE/WK2w==" saltValue="ScmTpd1tmM/514Hf4zb6zw==" spinCount="100000" sheet="1" objects="1" scenarios="1"/>
  <mergeCells count="5">
    <mergeCell ref="D4:E4"/>
    <mergeCell ref="D2:E2"/>
    <mergeCell ref="G2:N2"/>
    <mergeCell ref="G4:H4"/>
    <mergeCell ref="I4:N4"/>
  </mergeCells>
  <phoneticPr fontId="3" type="noConversion"/>
  <conditionalFormatting sqref="V6:V14">
    <cfRule type="cellIs" dxfId="152" priority="1" stopIfTrue="1" operator="between">
      <formula>0.001</formula>
      <formula>0.8</formula>
    </cfRule>
    <cfRule type="cellIs" dxfId="151" priority="2" stopIfTrue="1" operator="greaterThanOrEqual">
      <formula>1.3</formula>
    </cfRule>
    <cfRule type="cellIs" dxfId="150" priority="3" stopIfTrue="1" operator="greaterThanOrEqual">
      <formula>1</formula>
    </cfRule>
  </conditionalFormatting>
  <conditionalFormatting sqref="V16">
    <cfRule type="cellIs" dxfId="149" priority="4" stopIfTrue="1" operator="equal">
      <formula>0</formula>
    </cfRule>
  </conditionalFormatting>
  <conditionalFormatting sqref="T6">
    <cfRule type="expression" dxfId="148" priority="5" stopIfTrue="1">
      <formula>$V$6&gt;=1.3</formula>
    </cfRule>
    <cfRule type="expression" dxfId="147" priority="6" stopIfTrue="1">
      <formula>$V$6&lt;0.8</formula>
    </cfRule>
    <cfRule type="expression" dxfId="146" priority="7" stopIfTrue="1">
      <formula>$V$6&lt;1</formula>
    </cfRule>
  </conditionalFormatting>
  <conditionalFormatting sqref="T8">
    <cfRule type="expression" dxfId="145" priority="8" stopIfTrue="1">
      <formula>$V$8&gt;=1.3</formula>
    </cfRule>
    <cfRule type="expression" dxfId="144" priority="9" stopIfTrue="1">
      <formula>$V$8&lt;0.8</formula>
    </cfRule>
    <cfRule type="expression" dxfId="143" priority="10" stopIfTrue="1">
      <formula>$V$8&lt;1</formula>
    </cfRule>
  </conditionalFormatting>
  <conditionalFormatting sqref="T10">
    <cfRule type="expression" dxfId="142" priority="11" stopIfTrue="1">
      <formula>$V$10&gt;=1.3</formula>
    </cfRule>
    <cfRule type="expression" dxfId="141" priority="12" stopIfTrue="1">
      <formula>$V$10&lt;0.8</formula>
    </cfRule>
    <cfRule type="expression" dxfId="140" priority="13" stopIfTrue="1">
      <formula>$V$10&lt;1</formula>
    </cfRule>
  </conditionalFormatting>
  <conditionalFormatting sqref="T12">
    <cfRule type="expression" dxfId="139" priority="14" stopIfTrue="1">
      <formula>$V$12&gt;=1.3</formula>
    </cfRule>
    <cfRule type="expression" dxfId="138" priority="15" stopIfTrue="1">
      <formula>$V$12&lt;0.8</formula>
    </cfRule>
    <cfRule type="expression" dxfId="137" priority="16" stopIfTrue="1">
      <formula>$V$12&lt;1</formula>
    </cfRule>
  </conditionalFormatting>
  <conditionalFormatting sqref="T14">
    <cfRule type="expression" dxfId="136" priority="17" stopIfTrue="1">
      <formula>$V$14&gt;=1.3</formula>
    </cfRule>
    <cfRule type="expression" dxfId="135" priority="18" stopIfTrue="1">
      <formula>$V$14&lt;0.8</formula>
    </cfRule>
    <cfRule type="expression" dxfId="134" priority="19" stopIfTrue="1">
      <formula>$V$14&lt;1</formula>
    </cfRule>
  </conditionalFormatting>
  <conditionalFormatting sqref="T16">
    <cfRule type="expression" dxfId="133" priority="20" stopIfTrue="1">
      <formula>$U$16&gt;=$U$19</formula>
    </cfRule>
    <cfRule type="expression" dxfId="132" priority="21" stopIfTrue="1">
      <formula>$U$16&lt;$U$20</formula>
    </cfRule>
    <cfRule type="expression" dxfId="131" priority="22" stopIfTrue="1">
      <formula>$T$16&lt;$U$4</formula>
    </cfRule>
  </conditionalFormatting>
  <pageMargins left="0.41" right="0.25" top="1" bottom="1" header="0.5" footer="0.5"/>
  <pageSetup paperSize="9" scale="68" orientation="landscape" horizontalDpi="4294967293" verticalDpi="0" r:id="rId1"/>
  <headerFooter alignWithMargins="0">
    <oddHeader>&amp;C&amp;14Ontwikkelings Perspectief (OP)</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P44"/>
  <sheetViews>
    <sheetView showGridLines="0" showRowColHeaders="0" zoomScale="85" zoomScaleNormal="85" workbookViewId="0"/>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8</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t="str">
        <f>BEGINBLAD!B6</f>
        <v>leerling 1</v>
      </c>
      <c r="D6" s="152">
        <v>3.6</v>
      </c>
      <c r="E6" s="153">
        <v>2.1</v>
      </c>
      <c r="F6" s="153">
        <v>1.3</v>
      </c>
      <c r="G6" s="153">
        <v>0.9</v>
      </c>
      <c r="H6" s="153">
        <v>2.8</v>
      </c>
      <c r="I6" s="162">
        <v>4.0999999999999996</v>
      </c>
      <c r="J6" s="43">
        <f>SUM(D6:I6)</f>
        <v>14.799999999999999</v>
      </c>
      <c r="K6" s="166">
        <f>COUNTA(D6:I6)</f>
        <v>6</v>
      </c>
      <c r="L6" s="165"/>
      <c r="M6" s="156">
        <f t="shared" ref="M6:M41" si="0">IF(K6=0,"",IF(K6&gt;0,J6/K6))</f>
        <v>2.4666666666666663</v>
      </c>
      <c r="N6" s="157" t="str">
        <f>IF(M6="","",IF(M6&gt;=4.5,"A+",IF(M6&gt;=4,"A",IF(M6&gt;=3,"B",IF(M6&gt;2.3,"C",IF(M6&gt;=2,"C-",IF(M6&gt;=1,"D",IF(M6&gt;0,"E"))))))))</f>
        <v>C</v>
      </c>
      <c r="O6" s="24"/>
      <c r="P6" s="20"/>
    </row>
    <row r="7" spans="2:16" ht="19.5" customHeight="1" x14ac:dyDescent="0.2">
      <c r="B7" s="39">
        <v>2</v>
      </c>
      <c r="C7" s="27" t="str">
        <f>BEGINBLAD!B7</f>
        <v>leerling 2</v>
      </c>
      <c r="D7" s="152"/>
      <c r="E7" s="153"/>
      <c r="F7" s="153"/>
      <c r="G7" s="153"/>
      <c r="H7" s="153"/>
      <c r="I7" s="162"/>
      <c r="J7" s="43">
        <f t="shared" ref="J7:J41" si="1">SUM(D7:I7)</f>
        <v>0</v>
      </c>
      <c r="K7" s="166">
        <f t="shared" ref="K7:K41" si="2">COUNTA(D7:I7)</f>
        <v>0</v>
      </c>
      <c r="L7" s="165"/>
      <c r="M7" s="156" t="str">
        <f t="shared" si="0"/>
        <v/>
      </c>
      <c r="N7" s="157" t="str">
        <f t="shared" ref="N7:N41" si="3">IF(M7="","",IF(M7&gt;=4.5,"A+",IF(M7&gt;=4,"A",IF(M7&gt;=3,"B",IF(M7&gt;2.3,"C",IF(M7&gt;=2,"C-",IF(M7&gt;=1,"D",IF(M7&gt;0,"E"))))))))</f>
        <v/>
      </c>
      <c r="O7" s="19"/>
      <c r="P7" s="20"/>
    </row>
    <row r="8" spans="2:16" s="10" customFormat="1" ht="19.5" customHeight="1" x14ac:dyDescent="0.2">
      <c r="B8" s="39">
        <v>3</v>
      </c>
      <c r="C8" s="27" t="str">
        <f>BEGINBLAD!B8</f>
        <v>leerling 3</v>
      </c>
      <c r="D8" s="152"/>
      <c r="E8" s="153"/>
      <c r="F8" s="153"/>
      <c r="G8" s="153"/>
      <c r="H8" s="153"/>
      <c r="I8" s="162"/>
      <c r="J8" s="43">
        <f t="shared" si="1"/>
        <v>0</v>
      </c>
      <c r="K8" s="166">
        <f t="shared" si="2"/>
        <v>0</v>
      </c>
      <c r="L8" s="165"/>
      <c r="M8" s="156" t="str">
        <f t="shared" si="0"/>
        <v/>
      </c>
      <c r="N8" s="157" t="str">
        <f t="shared" si="3"/>
        <v/>
      </c>
      <c r="O8" s="19"/>
      <c r="P8" s="20"/>
    </row>
    <row r="9" spans="2:16" ht="19.5" customHeight="1" x14ac:dyDescent="0.2">
      <c r="B9" s="39">
        <v>4</v>
      </c>
      <c r="C9" s="27">
        <f>BEGINBLAD!B9</f>
        <v>0</v>
      </c>
      <c r="D9" s="152"/>
      <c r="E9" s="153"/>
      <c r="F9" s="153"/>
      <c r="G9" s="153"/>
      <c r="H9" s="153"/>
      <c r="I9" s="162"/>
      <c r="J9" s="43">
        <f t="shared" si="1"/>
        <v>0</v>
      </c>
      <c r="K9" s="166">
        <f t="shared" si="2"/>
        <v>0</v>
      </c>
      <c r="L9" s="165"/>
      <c r="M9" s="156" t="str">
        <f t="shared" si="0"/>
        <v/>
      </c>
      <c r="N9" s="157" t="str">
        <f t="shared" si="3"/>
        <v/>
      </c>
      <c r="O9" s="19"/>
      <c r="P9" s="20"/>
    </row>
    <row r="10" spans="2:16" s="10" customFormat="1" ht="19.5" customHeight="1" x14ac:dyDescent="0.2">
      <c r="B10" s="39">
        <v>5</v>
      </c>
      <c r="C10" s="27">
        <f>BEGINBLAD!B10</f>
        <v>0</v>
      </c>
      <c r="D10" s="152"/>
      <c r="E10" s="153"/>
      <c r="F10" s="153"/>
      <c r="G10" s="153"/>
      <c r="H10" s="153"/>
      <c r="I10" s="162"/>
      <c r="J10" s="43">
        <f t="shared" si="1"/>
        <v>0</v>
      </c>
      <c r="K10" s="166">
        <f t="shared" si="2"/>
        <v>0</v>
      </c>
      <c r="L10" s="165"/>
      <c r="M10" s="156" t="str">
        <f t="shared" si="0"/>
        <v/>
      </c>
      <c r="N10" s="157" t="str">
        <f t="shared" si="3"/>
        <v/>
      </c>
      <c r="O10" s="19"/>
      <c r="P10" s="21"/>
    </row>
    <row r="11" spans="2:16" ht="19.5" customHeight="1" x14ac:dyDescent="0.2">
      <c r="B11" s="39">
        <v>6</v>
      </c>
      <c r="C11" s="27">
        <f>BEGINBLAD!B11</f>
        <v>0</v>
      </c>
      <c r="D11" s="152"/>
      <c r="E11" s="153"/>
      <c r="F11" s="153"/>
      <c r="G11" s="153"/>
      <c r="H11" s="153"/>
      <c r="I11" s="162"/>
      <c r="J11" s="43">
        <f t="shared" si="1"/>
        <v>0</v>
      </c>
      <c r="K11" s="166">
        <f t="shared" si="2"/>
        <v>0</v>
      </c>
      <c r="L11" s="165"/>
      <c r="M11" s="156" t="str">
        <f t="shared" si="0"/>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1"/>
        <v>0</v>
      </c>
      <c r="K12" s="166">
        <f t="shared" si="2"/>
        <v>0</v>
      </c>
      <c r="L12" s="165"/>
      <c r="M12" s="156" t="str">
        <f t="shared" si="0"/>
        <v/>
      </c>
      <c r="N12" s="157" t="str">
        <f t="shared" si="3"/>
        <v/>
      </c>
      <c r="O12" s="19"/>
      <c r="P12" s="20"/>
    </row>
    <row r="13" spans="2:16" ht="19.5" customHeight="1" x14ac:dyDescent="0.2">
      <c r="B13" s="39">
        <v>8</v>
      </c>
      <c r="C13" s="27">
        <f>BEGINBLAD!B13</f>
        <v>0</v>
      </c>
      <c r="D13" s="152"/>
      <c r="E13" s="153"/>
      <c r="F13" s="153"/>
      <c r="G13" s="153"/>
      <c r="H13" s="153"/>
      <c r="I13" s="162"/>
      <c r="J13" s="43">
        <f t="shared" si="1"/>
        <v>0</v>
      </c>
      <c r="K13" s="166">
        <f t="shared" si="2"/>
        <v>0</v>
      </c>
      <c r="L13" s="165"/>
      <c r="M13" s="156" t="str">
        <f t="shared" si="0"/>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1"/>
        <v>0</v>
      </c>
      <c r="K14" s="166">
        <f t="shared" si="2"/>
        <v>0</v>
      </c>
      <c r="L14" s="165"/>
      <c r="M14" s="156" t="str">
        <f t="shared" si="0"/>
        <v/>
      </c>
      <c r="N14" s="157" t="str">
        <f t="shared" si="3"/>
        <v/>
      </c>
      <c r="O14" s="19"/>
      <c r="P14" s="20"/>
    </row>
    <row r="15" spans="2:16" ht="19.5" customHeight="1" x14ac:dyDescent="0.2">
      <c r="B15" s="39">
        <v>10</v>
      </c>
      <c r="C15" s="27">
        <f>BEGINBLAD!B15</f>
        <v>0</v>
      </c>
      <c r="D15" s="152"/>
      <c r="E15" s="153"/>
      <c r="F15" s="153"/>
      <c r="G15" s="153"/>
      <c r="H15" s="153"/>
      <c r="I15" s="162"/>
      <c r="J15" s="43">
        <f t="shared" si="1"/>
        <v>0</v>
      </c>
      <c r="K15" s="166">
        <f t="shared" si="2"/>
        <v>0</v>
      </c>
      <c r="L15" s="165"/>
      <c r="M15" s="156" t="str">
        <f t="shared" si="0"/>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1"/>
        <v>0</v>
      </c>
      <c r="K16" s="166">
        <f t="shared" si="2"/>
        <v>0</v>
      </c>
      <c r="L16" s="165"/>
      <c r="M16" s="156" t="str">
        <f t="shared" si="0"/>
        <v/>
      </c>
      <c r="N16" s="157" t="str">
        <f t="shared" si="3"/>
        <v/>
      </c>
      <c r="O16" s="19"/>
      <c r="P16" s="20"/>
    </row>
    <row r="17" spans="2:16" ht="19.5" customHeight="1" x14ac:dyDescent="0.2">
      <c r="B17" s="39">
        <v>12</v>
      </c>
      <c r="C17" s="27">
        <f>BEGINBLAD!B17</f>
        <v>0</v>
      </c>
      <c r="D17" s="152"/>
      <c r="E17" s="153"/>
      <c r="F17" s="153"/>
      <c r="G17" s="153"/>
      <c r="H17" s="153"/>
      <c r="I17" s="162"/>
      <c r="J17" s="43">
        <f t="shared" si="1"/>
        <v>0</v>
      </c>
      <c r="K17" s="166">
        <f t="shared" si="2"/>
        <v>0</v>
      </c>
      <c r="L17" s="165"/>
      <c r="M17" s="156" t="str">
        <f t="shared" si="0"/>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1"/>
        <v>0</v>
      </c>
      <c r="K18" s="166">
        <f t="shared" si="2"/>
        <v>0</v>
      </c>
      <c r="L18" s="165"/>
      <c r="M18" s="156" t="str">
        <f t="shared" si="0"/>
        <v/>
      </c>
      <c r="N18" s="157" t="str">
        <f t="shared" si="3"/>
        <v/>
      </c>
      <c r="O18" s="19"/>
      <c r="P18" s="20"/>
    </row>
    <row r="19" spans="2:16" ht="19.5" customHeight="1" x14ac:dyDescent="0.2">
      <c r="B19" s="39">
        <v>14</v>
      </c>
      <c r="C19" s="27">
        <f>BEGINBLAD!B19</f>
        <v>0</v>
      </c>
      <c r="D19" s="152"/>
      <c r="E19" s="153"/>
      <c r="F19" s="153"/>
      <c r="G19" s="153"/>
      <c r="H19" s="153"/>
      <c r="I19" s="162"/>
      <c r="J19" s="43">
        <f t="shared" si="1"/>
        <v>0</v>
      </c>
      <c r="K19" s="166">
        <f t="shared" si="2"/>
        <v>0</v>
      </c>
      <c r="L19" s="165"/>
      <c r="M19" s="156" t="str">
        <f t="shared" si="0"/>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1"/>
        <v>0</v>
      </c>
      <c r="K20" s="166">
        <f t="shared" si="2"/>
        <v>0</v>
      </c>
      <c r="L20" s="165"/>
      <c r="M20" s="156" t="str">
        <f t="shared" si="0"/>
        <v/>
      </c>
      <c r="N20" s="157" t="str">
        <f t="shared" si="3"/>
        <v/>
      </c>
      <c r="O20" s="19"/>
      <c r="P20" s="20"/>
    </row>
    <row r="21" spans="2:16" ht="19.5" customHeight="1" x14ac:dyDescent="0.2">
      <c r="B21" s="39">
        <v>16</v>
      </c>
      <c r="C21" s="27">
        <f>BEGINBLAD!B21</f>
        <v>0</v>
      </c>
      <c r="D21" s="152"/>
      <c r="E21" s="153"/>
      <c r="F21" s="153"/>
      <c r="G21" s="153"/>
      <c r="H21" s="153"/>
      <c r="I21" s="162"/>
      <c r="J21" s="43">
        <f t="shared" si="1"/>
        <v>0</v>
      </c>
      <c r="K21" s="166">
        <f t="shared" si="2"/>
        <v>0</v>
      </c>
      <c r="L21" s="165"/>
      <c r="M21" s="156" t="str">
        <f t="shared" si="0"/>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1"/>
        <v>0</v>
      </c>
      <c r="K22" s="166">
        <f t="shared" si="2"/>
        <v>0</v>
      </c>
      <c r="L22" s="165"/>
      <c r="M22" s="156" t="str">
        <f t="shared" si="0"/>
        <v/>
      </c>
      <c r="N22" s="157" t="str">
        <f t="shared" si="3"/>
        <v/>
      </c>
      <c r="O22" s="19"/>
      <c r="P22" s="20"/>
    </row>
    <row r="23" spans="2:16" ht="19.5" customHeight="1" x14ac:dyDescent="0.2">
      <c r="B23" s="39">
        <v>18</v>
      </c>
      <c r="C23" s="27">
        <f>BEGINBLAD!B23</f>
        <v>0</v>
      </c>
      <c r="D23" s="152"/>
      <c r="E23" s="153"/>
      <c r="F23" s="153"/>
      <c r="G23" s="153"/>
      <c r="H23" s="153"/>
      <c r="I23" s="162"/>
      <c r="J23" s="43">
        <f t="shared" si="1"/>
        <v>0</v>
      </c>
      <c r="K23" s="166">
        <f t="shared" si="2"/>
        <v>0</v>
      </c>
      <c r="L23" s="165"/>
      <c r="M23" s="156" t="str">
        <f t="shared" si="0"/>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1"/>
        <v>0</v>
      </c>
      <c r="K24" s="166">
        <f t="shared" si="2"/>
        <v>0</v>
      </c>
      <c r="L24" s="165"/>
      <c r="M24" s="156" t="str">
        <f t="shared" si="0"/>
        <v/>
      </c>
      <c r="N24" s="157" t="str">
        <f t="shared" si="3"/>
        <v/>
      </c>
      <c r="O24" s="19"/>
      <c r="P24" s="20"/>
    </row>
    <row r="25" spans="2:16" ht="19.5" customHeight="1" x14ac:dyDescent="0.2">
      <c r="B25" s="39">
        <v>20</v>
      </c>
      <c r="C25" s="27">
        <f>BEGINBLAD!B25</f>
        <v>0</v>
      </c>
      <c r="D25" s="152"/>
      <c r="E25" s="153"/>
      <c r="F25" s="153"/>
      <c r="G25" s="153"/>
      <c r="H25" s="153"/>
      <c r="I25" s="162"/>
      <c r="J25" s="43">
        <f t="shared" si="1"/>
        <v>0</v>
      </c>
      <c r="K25" s="166">
        <f t="shared" si="2"/>
        <v>0</v>
      </c>
      <c r="L25" s="165"/>
      <c r="M25" s="156" t="str">
        <f t="shared" si="0"/>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1"/>
        <v>0</v>
      </c>
      <c r="K26" s="166">
        <f t="shared" si="2"/>
        <v>0</v>
      </c>
      <c r="L26" s="165"/>
      <c r="M26" s="156" t="str">
        <f t="shared" si="0"/>
        <v/>
      </c>
      <c r="N26" s="157" t="str">
        <f t="shared" si="3"/>
        <v/>
      </c>
      <c r="O26" s="19"/>
      <c r="P26" s="20"/>
    </row>
    <row r="27" spans="2:16" ht="19.5" customHeight="1" x14ac:dyDescent="0.2">
      <c r="B27" s="39">
        <v>22</v>
      </c>
      <c r="C27" s="27">
        <f>BEGINBLAD!B27</f>
        <v>0</v>
      </c>
      <c r="D27" s="152"/>
      <c r="E27" s="153"/>
      <c r="F27" s="153"/>
      <c r="G27" s="153"/>
      <c r="H27" s="153"/>
      <c r="I27" s="162"/>
      <c r="J27" s="43">
        <f t="shared" si="1"/>
        <v>0</v>
      </c>
      <c r="K27" s="166">
        <f t="shared" si="2"/>
        <v>0</v>
      </c>
      <c r="L27" s="165"/>
      <c r="M27" s="156" t="str">
        <f t="shared" si="0"/>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1"/>
        <v>0</v>
      </c>
      <c r="K28" s="166">
        <f t="shared" si="2"/>
        <v>0</v>
      </c>
      <c r="L28" s="165"/>
      <c r="M28" s="156" t="str">
        <f t="shared" si="0"/>
        <v/>
      </c>
      <c r="N28" s="157" t="str">
        <f t="shared" si="3"/>
        <v/>
      </c>
      <c r="O28" s="19"/>
      <c r="P28" s="20"/>
    </row>
    <row r="29" spans="2:16" ht="19.5" customHeight="1" x14ac:dyDescent="0.2">
      <c r="B29" s="39">
        <v>24</v>
      </c>
      <c r="C29" s="27">
        <f>BEGINBLAD!B29</f>
        <v>0</v>
      </c>
      <c r="D29" s="152"/>
      <c r="E29" s="153"/>
      <c r="F29" s="153"/>
      <c r="G29" s="153"/>
      <c r="H29" s="153"/>
      <c r="I29" s="162"/>
      <c r="J29" s="43">
        <f t="shared" si="1"/>
        <v>0</v>
      </c>
      <c r="K29" s="166">
        <f t="shared" si="2"/>
        <v>0</v>
      </c>
      <c r="L29" s="165"/>
      <c r="M29" s="156" t="str">
        <f t="shared" si="0"/>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1"/>
        <v>0</v>
      </c>
      <c r="K30" s="166">
        <f t="shared" si="2"/>
        <v>0</v>
      </c>
      <c r="L30" s="165"/>
      <c r="M30" s="156" t="str">
        <f t="shared" si="0"/>
        <v/>
      </c>
      <c r="N30" s="157" t="str">
        <f t="shared" si="3"/>
        <v/>
      </c>
      <c r="O30" s="19"/>
      <c r="P30" s="20"/>
    </row>
    <row r="31" spans="2:16" ht="19.5" customHeight="1" x14ac:dyDescent="0.2">
      <c r="B31" s="39">
        <v>26</v>
      </c>
      <c r="C31" s="27">
        <f>BEGINBLAD!B31</f>
        <v>0</v>
      </c>
      <c r="D31" s="152"/>
      <c r="E31" s="153"/>
      <c r="F31" s="153"/>
      <c r="G31" s="153"/>
      <c r="H31" s="153"/>
      <c r="I31" s="162"/>
      <c r="J31" s="43">
        <f t="shared" si="1"/>
        <v>0</v>
      </c>
      <c r="K31" s="166">
        <f t="shared" si="2"/>
        <v>0</v>
      </c>
      <c r="L31" s="165"/>
      <c r="M31" s="156" t="str">
        <f t="shared" si="0"/>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1"/>
        <v>0</v>
      </c>
      <c r="K32" s="166">
        <f t="shared" si="2"/>
        <v>0</v>
      </c>
      <c r="L32" s="165"/>
      <c r="M32" s="156" t="str">
        <f t="shared" si="0"/>
        <v/>
      </c>
      <c r="N32" s="157" t="str">
        <f t="shared" si="3"/>
        <v/>
      </c>
      <c r="O32" s="19"/>
      <c r="P32" s="20"/>
    </row>
    <row r="33" spans="2:16" ht="19.5" customHeight="1" x14ac:dyDescent="0.2">
      <c r="B33" s="39">
        <v>28</v>
      </c>
      <c r="C33" s="27">
        <f>BEGINBLAD!B33</f>
        <v>0</v>
      </c>
      <c r="D33" s="152"/>
      <c r="E33" s="153"/>
      <c r="F33" s="153"/>
      <c r="G33" s="153"/>
      <c r="H33" s="153"/>
      <c r="I33" s="162"/>
      <c r="J33" s="43">
        <f t="shared" si="1"/>
        <v>0</v>
      </c>
      <c r="K33" s="166">
        <f t="shared" si="2"/>
        <v>0</v>
      </c>
      <c r="L33" s="165"/>
      <c r="M33" s="156" t="str">
        <f t="shared" si="0"/>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1"/>
        <v>0</v>
      </c>
      <c r="K34" s="166">
        <f t="shared" si="2"/>
        <v>0</v>
      </c>
      <c r="L34" s="165"/>
      <c r="M34" s="156" t="str">
        <f t="shared" si="0"/>
        <v/>
      </c>
      <c r="N34" s="157" t="str">
        <f t="shared" si="3"/>
        <v/>
      </c>
      <c r="O34" s="19"/>
      <c r="P34" s="20"/>
    </row>
    <row r="35" spans="2:16" ht="19.5" customHeight="1" x14ac:dyDescent="0.2">
      <c r="B35" s="39">
        <v>30</v>
      </c>
      <c r="C35" s="27">
        <f>BEGINBLAD!B35</f>
        <v>0</v>
      </c>
      <c r="D35" s="152"/>
      <c r="E35" s="153"/>
      <c r="F35" s="153"/>
      <c r="G35" s="153"/>
      <c r="H35" s="153"/>
      <c r="I35" s="162"/>
      <c r="J35" s="43">
        <f t="shared" si="1"/>
        <v>0</v>
      </c>
      <c r="K35" s="166">
        <f t="shared" si="2"/>
        <v>0</v>
      </c>
      <c r="L35" s="165"/>
      <c r="M35" s="156" t="str">
        <f t="shared" si="0"/>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1"/>
        <v>0</v>
      </c>
      <c r="K36" s="166">
        <f t="shared" si="2"/>
        <v>0</v>
      </c>
      <c r="L36" s="165"/>
      <c r="M36" s="156" t="str">
        <f t="shared" si="0"/>
        <v/>
      </c>
      <c r="N36" s="157" t="str">
        <f t="shared" si="3"/>
        <v/>
      </c>
      <c r="O36" s="19"/>
      <c r="P36" s="20"/>
    </row>
    <row r="37" spans="2:16" ht="19.5" customHeight="1" x14ac:dyDescent="0.2">
      <c r="B37" s="39">
        <v>32</v>
      </c>
      <c r="C37" s="27">
        <f>BEGINBLAD!B37</f>
        <v>0</v>
      </c>
      <c r="D37" s="152"/>
      <c r="E37" s="153"/>
      <c r="F37" s="153"/>
      <c r="G37" s="153"/>
      <c r="H37" s="153"/>
      <c r="I37" s="162"/>
      <c r="J37" s="43">
        <f t="shared" si="1"/>
        <v>0</v>
      </c>
      <c r="K37" s="166">
        <f t="shared" si="2"/>
        <v>0</v>
      </c>
      <c r="L37" s="165"/>
      <c r="M37" s="156" t="str">
        <f t="shared" si="0"/>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1"/>
        <v>0</v>
      </c>
      <c r="K38" s="166">
        <f t="shared" si="2"/>
        <v>0</v>
      </c>
      <c r="L38" s="165"/>
      <c r="M38" s="156" t="str">
        <f t="shared" si="0"/>
        <v/>
      </c>
      <c r="N38" s="157" t="str">
        <f t="shared" si="3"/>
        <v/>
      </c>
      <c r="O38" s="19"/>
      <c r="P38" s="20"/>
    </row>
    <row r="39" spans="2:16" ht="19.5" customHeight="1" x14ac:dyDescent="0.2">
      <c r="B39" s="39">
        <v>34</v>
      </c>
      <c r="C39" s="27">
        <f>BEGINBLAD!B39</f>
        <v>0</v>
      </c>
      <c r="D39" s="152"/>
      <c r="E39" s="153"/>
      <c r="F39" s="153"/>
      <c r="G39" s="153"/>
      <c r="H39" s="153"/>
      <c r="I39" s="162"/>
      <c r="J39" s="43">
        <f t="shared" si="1"/>
        <v>0</v>
      </c>
      <c r="K39" s="166">
        <f t="shared" si="2"/>
        <v>0</v>
      </c>
      <c r="L39" s="165"/>
      <c r="M39" s="156" t="str">
        <f t="shared" si="0"/>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1"/>
        <v>0</v>
      </c>
      <c r="K40" s="166">
        <f t="shared" si="2"/>
        <v>0</v>
      </c>
      <c r="L40" s="165"/>
      <c r="M40" s="156" t="str">
        <f t="shared" si="0"/>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1"/>
        <v>0</v>
      </c>
      <c r="K41" s="167">
        <f t="shared" si="2"/>
        <v>0</v>
      </c>
      <c r="L41" s="165"/>
      <c r="M41" s="158" t="str">
        <f t="shared" si="0"/>
        <v/>
      </c>
      <c r="N41" s="159" t="str">
        <f t="shared" si="3"/>
        <v/>
      </c>
      <c r="O41" s="19"/>
      <c r="P41" s="20"/>
    </row>
    <row r="42" spans="2:16" ht="19.5" customHeight="1" x14ac:dyDescent="0.2">
      <c r="C42" s="168" t="s">
        <v>90</v>
      </c>
      <c r="D42" s="169">
        <f>AVERAGE(D6:D41)</f>
        <v>3.6</v>
      </c>
      <c r="E42" s="169">
        <f t="shared" ref="E42:M42" si="4">AVERAGE(E6:E41)</f>
        <v>2.1</v>
      </c>
      <c r="F42" s="169">
        <f t="shared" si="4"/>
        <v>1.3</v>
      </c>
      <c r="G42" s="169">
        <f t="shared" si="4"/>
        <v>0.9</v>
      </c>
      <c r="H42" s="169">
        <f t="shared" si="4"/>
        <v>2.8</v>
      </c>
      <c r="I42" s="169">
        <f t="shared" si="4"/>
        <v>4.0999999999999996</v>
      </c>
      <c r="J42" s="169">
        <f t="shared" si="4"/>
        <v>0.41111111111111109</v>
      </c>
      <c r="K42" s="169">
        <f t="shared" si="4"/>
        <v>0.16666666666666666</v>
      </c>
      <c r="L42" s="170"/>
      <c r="M42" s="169">
        <f t="shared" si="4"/>
        <v>2.4666666666666663</v>
      </c>
    </row>
    <row r="43" spans="2:16" ht="19.5" customHeight="1" x14ac:dyDescent="0.2">
      <c r="C43" s="168" t="s">
        <v>91</v>
      </c>
      <c r="D43" s="171" t="str">
        <f>IF(D42="","",IF(D42&gt;=4.5,"A+",IF(D42&gt;=4,"A",IF(D42&gt;=3,"B",IF(D42&gt;2.3,"C",IF(D42&gt;=2,"C-",IF(D42&gt;=1,"D",IF(D42&gt;0,"E"))))))))</f>
        <v>B</v>
      </c>
      <c r="E43" s="171" t="str">
        <f t="shared" ref="E43:M43" si="5">IF(E42="","",IF(E42&gt;=4.5,"A+",IF(E42&gt;=4,"A",IF(E42&gt;=3,"B",IF(E42&gt;2.3,"C",IF(E42&gt;=2,"C-",IF(E42&gt;=1,"D",IF(E42&gt;0,"E"))))))))</f>
        <v>C-</v>
      </c>
      <c r="F43" s="171" t="str">
        <f t="shared" si="5"/>
        <v>D</v>
      </c>
      <c r="G43" s="171" t="str">
        <f t="shared" si="5"/>
        <v>E</v>
      </c>
      <c r="H43" s="171" t="str">
        <f t="shared" si="5"/>
        <v>C</v>
      </c>
      <c r="I43" s="171" t="str">
        <f t="shared" si="5"/>
        <v>A</v>
      </c>
      <c r="J43" s="171" t="str">
        <f t="shared" si="5"/>
        <v>E</v>
      </c>
      <c r="K43" s="171" t="str">
        <f t="shared" si="5"/>
        <v>E</v>
      </c>
      <c r="L43" s="172" t="str">
        <f t="shared" si="5"/>
        <v/>
      </c>
      <c r="M43" s="171" t="str">
        <f t="shared" si="5"/>
        <v>C</v>
      </c>
    </row>
    <row r="44" spans="2:16" x14ac:dyDescent="0.2">
      <c r="C44" s="11">
        <f>BEGINBLAD!$B$42</f>
        <v>3</v>
      </c>
    </row>
  </sheetData>
  <sheetProtection algorithmName="SHA-512" hashValue="hiRTZ90UU1NL4r7LJLF6vOa5xnAKa1S5dFOoRfWMKFPaSGTc5PlU+yiT1rrghMsJ7+SjWqikncrVbZ1s9NksLA==" saltValue="aZkw8GTqcUGHa88vZox3nw==" spinCount="100000" sheet="1"/>
  <mergeCells count="5">
    <mergeCell ref="B2:C2"/>
    <mergeCell ref="E2:F2"/>
    <mergeCell ref="M2:N2"/>
    <mergeCell ref="G2:H2"/>
    <mergeCell ref="I2:L2"/>
  </mergeCells>
  <phoneticPr fontId="3" type="noConversion"/>
  <conditionalFormatting sqref="C6:C41">
    <cfRule type="expression" dxfId="130" priority="1" stopIfTrue="1">
      <formula>$N6=""</formula>
    </cfRule>
    <cfRule type="expression" dxfId="129" priority="2" stopIfTrue="1">
      <formula>$N6="A+"</formula>
    </cfRule>
  </conditionalFormatting>
  <conditionalFormatting sqref="N6:N41 D43:M43">
    <cfRule type="cellIs" dxfId="128" priority="3" stopIfTrue="1" operator="between">
      <formula>"D"</formula>
      <formula>"E"</formula>
    </cfRule>
    <cfRule type="cellIs" dxfId="127" priority="4" stopIfTrue="1" operator="between">
      <formula>"B"</formula>
      <formula>"B+"</formula>
    </cfRule>
    <cfRule type="cellIs" dxfId="126" priority="5" stopIfTrue="1" operator="between">
      <formula>"A"</formula>
      <formula>"A+"</formula>
    </cfRule>
  </conditionalFormatting>
  <conditionalFormatting sqref="D6:I41">
    <cfRule type="cellIs" dxfId="125" priority="6" stopIfTrue="1" operator="between">
      <formula>0.1</formula>
      <formula>1.9</formula>
    </cfRule>
    <cfRule type="cellIs" dxfId="124" priority="7" stopIfTrue="1" operator="between">
      <formula>3</formula>
      <formula>3.9</formula>
    </cfRule>
    <cfRule type="cellIs" dxfId="123" priority="8" stopIfTrue="1" operator="between">
      <formula>4</formula>
      <formula>5</formula>
    </cfRule>
  </conditionalFormatting>
  <conditionalFormatting sqref="M6:M41 D42:M42">
    <cfRule type="cellIs" dxfId="122" priority="9" stopIfTrue="1" operator="between">
      <formula>0.001</formula>
      <formula>1.999</formula>
    </cfRule>
    <cfRule type="cellIs" dxfId="121" priority="10" stopIfTrue="1" operator="between">
      <formula>3</formula>
      <formula>3.999</formula>
    </cfRule>
    <cfRule type="cellIs" dxfId="120"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1"/>
  </sheetPr>
  <dimension ref="A1:BG72"/>
  <sheetViews>
    <sheetView showGridLines="0" showRowColHeaders="0" zoomScale="85" zoomScaleNormal="85" workbookViewId="0">
      <selection activeCell="AD1" sqref="AD1:AU1048576"/>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29">
        <f>'NW - M8'!$D$2</f>
        <v>8</v>
      </c>
      <c r="K1" s="331"/>
      <c r="L1" s="244"/>
      <c r="M1" s="32"/>
      <c r="N1" s="323" t="s">
        <v>23</v>
      </c>
      <c r="O1" s="323"/>
      <c r="P1" s="214"/>
      <c r="Q1" s="214"/>
      <c r="U1" s="5" t="b">
        <f>IF($J$1=3,"ja",IF($J$1="3A","ja",IF($J$1="3B","ja",IF($J$1="3C","ja"))))</f>
        <v>0</v>
      </c>
      <c r="X1" s="5" t="b">
        <f>IF($J$1=4,"ja",IF($J$1="4A","ja",IF($J$1="4B","ja",IF($J$1="4C","ja"))))</f>
        <v>0</v>
      </c>
      <c r="AA1" s="5" t="b">
        <f>IF($J$1=6,"ja",IF($J$1="6A","ja",IF($J$1="6B","ja",IF($J$1="6C","ja"))))</f>
        <v>0</v>
      </c>
      <c r="AB1" s="5"/>
      <c r="AC1" s="5"/>
      <c r="AD1" s="3" t="str">
        <f>IF($J$1=8,"ja",IF($J$1="8A","ja",IF($J$1="8B","ja",IF($J$1="8C","ja"))))</f>
        <v>ja</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0"/>
      <c r="K2" s="322"/>
      <c r="L2" s="245"/>
      <c r="M2" s="32"/>
      <c r="N2" s="324" t="s">
        <v>30</v>
      </c>
      <c r="O2" s="324"/>
      <c r="P2" s="215"/>
      <c r="Q2" s="215"/>
      <c r="R2" s="3"/>
      <c r="S2" s="3"/>
      <c r="T2" s="3"/>
      <c r="U2" s="5" t="b">
        <f>IF($J$1=7,"ja",IF($J$1="7A","ja",IF($J$1="7B","ja",IF($J$1="7C","ja"))))</f>
        <v>0</v>
      </c>
      <c r="V2" s="3"/>
      <c r="W2" s="3"/>
      <c r="X2" s="5" t="str">
        <f>IF($J$1=8,"ja",IF($J$1="8A","ja",IF($J$1="8B","ja",IF($J$1="8C","ja"))))</f>
        <v>ja</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25"/>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7"/>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4" t="s">
        <v>35</v>
      </c>
      <c r="P9" s="345"/>
      <c r="Q9" s="345"/>
      <c r="R9" s="345"/>
      <c r="S9" s="345"/>
      <c r="T9" s="345"/>
      <c r="U9" s="345"/>
      <c r="V9" s="345"/>
      <c r="W9" s="346"/>
      <c r="X9" s="344" t="s">
        <v>36</v>
      </c>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199"/>
      <c r="AW9" s="328" t="s">
        <v>113</v>
      </c>
      <c r="AX9" s="328"/>
      <c r="AY9" s="328"/>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t="str">
        <f>BEGINBLAD!B6</f>
        <v>leerling 1</v>
      </c>
      <c r="C17" s="110" t="str">
        <f>IF('RIO - E7'!C17="","",IF('RIO - E7'!C17&gt;"",'RIO - E7'!C17))</f>
        <v>C</v>
      </c>
      <c r="D17" s="149" t="str">
        <f>IF('NW - M8'!N6="","",IF('NW - M8'!N6="A+","A",IF('NW - M8'!N6="A","A",IF('NW - M8'!N6="B","B",IF('NW - M8'!N6="C","C",IF('NW - M8'!N6="C-","C",IF('NW - M8'!N6="D","D",IF('NW - M8'!N6="E","E"))))))))</f>
        <v>C</v>
      </c>
      <c r="E17" s="110"/>
      <c r="F17" s="192">
        <f t="shared" ref="F17:G52" si="0">IF(C17="","",IF(C17="A",5,IF(C17="B",4,IF(C17="C",3,IF(C17="D",2,IF(C17="E",1))))))</f>
        <v>3</v>
      </c>
      <c r="G17" s="192">
        <f t="shared" si="0"/>
        <v>3</v>
      </c>
      <c r="H17" s="191" t="str">
        <f>IF(E17="","",IF(E17="A",5,IF(E17="B",4,IF(E17="C",3,IF(E17="D",2,IF(E17="E",1))))))</f>
        <v/>
      </c>
      <c r="I17" s="193">
        <f>IF(F17="",H17,IF(H17="",F17,IF(F17&gt;H17,F17,IF(F17&lt;H17,H17,IF(F17=H17,F17)))))</f>
        <v>3</v>
      </c>
      <c r="J17" s="208" t="str">
        <f>IF(I17="","",IF(I17=5,"A",IF(I17=4,"B",IF(I17=3,"C",IF(I17=2,"D",IF(I17=1,"E"))))))</f>
        <v>C</v>
      </c>
      <c r="K17" s="210">
        <f>IF(I17="","",IF(I17=5,4,IF(I17=4,3.2,IF(I17=3,2.4,IF(I17=2,1.6,IF(I17=1,0.8))))))</f>
        <v>2.4</v>
      </c>
      <c r="L17" s="188"/>
      <c r="M17" s="104"/>
      <c r="N17" s="105"/>
      <c r="O17" s="250" t="str">
        <f>IF(P17=0,0,IF(P17&gt;=4,"A",IF(P17&gt;=3,"B",IF(P17&gt;2.3,"C",IF(P17&gt;=1,"D",IF(P17&gt;0,"E"))))))</f>
        <v>B</v>
      </c>
      <c r="P17" s="249">
        <f>IF('NW - M8'!D6=0,0,IF('NW - M8'!D6&gt;=0,'NW - M8'!D6))</f>
        <v>3.6</v>
      </c>
      <c r="Q17" s="206">
        <f>IF(K17="","",IF(P17=0,"",IF(P17&gt;0,P17/K17)))</f>
        <v>1.5</v>
      </c>
      <c r="R17" s="250" t="str">
        <f>IF(S17=0,0,IF(S17&gt;=4,"A",IF(S17&gt;=3,"B",IF(S17&gt;2.3,"C",IF(S17&gt;=1,"D",IF(S17&gt;0,"E"))))))</f>
        <v>D</v>
      </c>
      <c r="S17" s="249">
        <f>IF('NW - M8'!F6=0,0,IF('NW - M8'!F6&gt;=0,'NW - M8'!F6))</f>
        <v>1.3</v>
      </c>
      <c r="T17" s="206">
        <f>IF(K17="","",IF(S17=0,"",IF(S17&gt;0,S17/K17)))</f>
        <v>0.54166666666666674</v>
      </c>
      <c r="U17" s="250" t="str">
        <f>IF(V17=0,0,IF(V17&gt;=4,"A",IF(V17&gt;=3,"B",IF(V17&gt;2.3,"C",IF(V17&gt;=1,"D",IF(V17&gt;0,"E"))))))</f>
        <v>D</v>
      </c>
      <c r="V17" s="249">
        <f>IF('NW - M8'!E6=0,0,IF('NW - M8'!E6&gt;=0,'NW - M8'!E6))</f>
        <v>2.1</v>
      </c>
      <c r="W17" s="206">
        <f>IF(K17="","",IF(V17=0,"",IF(V17&gt;0,V17/K17)))</f>
        <v>0.87500000000000011</v>
      </c>
      <c r="X17" s="250" t="str">
        <f>IF(Y17=0,0,IF(Y17&gt;=4,"A",IF(Y17&gt;=3,"B",IF(Y17&gt;2.3,"C",IF(Y17&gt;=1,"D",IF(Y17&gt;0,"E"))))))</f>
        <v>A</v>
      </c>
      <c r="Y17" s="249">
        <f>IF('NW - M8'!I6=0,0,IF('NW - M8'!I6&gt;=0,'NW - M8'!I6))</f>
        <v>4.0999999999999996</v>
      </c>
      <c r="Z17" s="206">
        <f>IF(K17="","",IF(Y17=0,"",IF(Y17&gt;0,Y17/K17)))</f>
        <v>1.7083333333333333</v>
      </c>
      <c r="AA17" s="250" t="str">
        <f>IF(AB17=0,0,IF(AB17&gt;=4,"A",IF(AB17&gt;=3,"B",IF(AB17&gt;2.3,"C",IF(AB17&gt;=1,"D",IF(AB17&gt;0,"E"))))))</f>
        <v>C</v>
      </c>
      <c r="AB17" s="249">
        <f>IF('NW - M8'!H6=0,0,IF('NW - M8'!H6&gt;=0,'NW - M8'!H6))</f>
        <v>2.8</v>
      </c>
      <c r="AC17" s="206">
        <f>IF(K17="","",IF(AB17=0,"",IF(AB17&gt;0,AB17/K17)))</f>
        <v>1.1666666666666667</v>
      </c>
      <c r="AD17" s="1">
        <f>IF($J17="","",IF(O17=0,"",IF(Q17&lt;0.8,"",IF(Q17&gt;=0.8,1))))</f>
        <v>1</v>
      </c>
      <c r="AE17" s="1" t="str">
        <f>IF($J17="","",IF(R17=0,"",IF(T17&lt;0.8,"",IF(T17&gt;=0.8,1))))</f>
        <v/>
      </c>
      <c r="AF17" s="1">
        <f>IF($J17="","",IF(U17=0,"",IF(W17&lt;0.8,"",IF(W17&gt;=0.8,1))))</f>
        <v>1</v>
      </c>
      <c r="AG17" s="1">
        <f>IF($J17="","",IF(X17=0,"",IF(Z17&lt;0.8,"",IF(Z17&gt;=0.8,1))))</f>
        <v>1</v>
      </c>
      <c r="AH17" s="1">
        <f>IF($J17="","",IF(AA17=0,"",IF(AC17&lt;0.8,"",IF(AC17&gt;=0.8,1))))</f>
        <v>1</v>
      </c>
      <c r="AI17" s="1">
        <f t="shared" ref="AI17:AI52" si="1">SUM(AD17:AH17)</f>
        <v>4</v>
      </c>
      <c r="AJ17" s="106" t="b">
        <f t="shared" ref="AJ17:AJ52" si="2">IF($J17="A",$AV17)</f>
        <v>0</v>
      </c>
      <c r="AK17" s="106" t="b">
        <f t="shared" ref="AK17:AK52" si="3">IF($J17="B",$AV17)</f>
        <v>0</v>
      </c>
      <c r="AL17" s="106">
        <f t="shared" ref="AL17:AL52" si="4">IF($J17="C",$AV17)</f>
        <v>0.8</v>
      </c>
      <c r="AM17" s="106" t="b">
        <f t="shared" ref="AM17:AM52" si="5">IF($J17="D",$AV17)</f>
        <v>0</v>
      </c>
      <c r="AN17" s="106" t="b">
        <f t="shared" ref="AN17:AN52" si="6">IF($J17="E",$AV17)</f>
        <v>0</v>
      </c>
      <c r="AO17" s="106" t="b">
        <f>IF($J17=1,$AV17)</f>
        <v>0</v>
      </c>
      <c r="AP17" s="106" t="b">
        <f t="shared" ref="AP17:AP52" si="7">IF($J17=2,$AV17)</f>
        <v>0</v>
      </c>
      <c r="AQ17" s="106" t="b">
        <f t="shared" ref="AQ17:AQ52" si="8">IF($J17=3,$AV17)</f>
        <v>0</v>
      </c>
      <c r="AR17" s="106" t="b">
        <f t="shared" ref="AR17:AR52" si="9">IF($J17=4,$AV17)</f>
        <v>0</v>
      </c>
      <c r="AS17" s="106" t="b">
        <f t="shared" ref="AS17:AS52" si="10">IF($J17=5,$AV17)</f>
        <v>0</v>
      </c>
      <c r="AT17" s="148">
        <f>IF(J17="","",IF(J17&gt;0,COUNT(O17+R17+U17+X17+AA17)))</f>
        <v>0</v>
      </c>
      <c r="AU17" s="198">
        <f>5-AT17</f>
        <v>5</v>
      </c>
      <c r="AV17" s="204">
        <f>IF(AT17="","",IF(AU17=0,"",IF(AU17&gt;0,AI17/AU17)))</f>
        <v>0.8</v>
      </c>
      <c r="AW17" s="107" t="str">
        <f t="shared" ref="AW17:AW52" si="11">IF(M17="","",IF(M17="x",1))</f>
        <v/>
      </c>
      <c r="AX17" s="108"/>
      <c r="AY17" s="109" t="str">
        <f t="shared" ref="AY17:AY52" si="12">IF(L17="","",IF(L17="X",AV17))</f>
        <v/>
      </c>
      <c r="AZ17" s="110"/>
      <c r="BA17" s="111" t="str">
        <f t="shared" ref="BA17:BA52" si="13">IF(N17="","",IF(N17="pro",1,IF(N17="lwoo",2,IF(N17="vmbo-b",3,IF(N17="vmbo-k",4,IF(N17="vmbo-g",5,IF(N17="vmbo-t",6,IF(N17="havo",7))))))))</f>
        <v/>
      </c>
      <c r="BB17" s="112"/>
      <c r="BC17" s="113" t="str">
        <f t="shared" ref="BC17:BC52" si="14">IF(BB17="","",IF(BB17="pro",1,IF(BB17="lwoo",2,IF(BB17="vmbo-b",3,IF(BB17="vmbo-k",4,IF(BB17="vmbo-g",5,IF(BB17="vmbo-t",6,IF(BB17="havo",7))))))))</f>
        <v/>
      </c>
      <c r="BD17" s="114">
        <f t="shared" ref="BD17:BD52" si="15">IF(BC17="",0,IF(BC17&lt;BA17,0,IF(BC17&gt;=BA17,1)))</f>
        <v>0</v>
      </c>
      <c r="BE17" s="115"/>
      <c r="BF17" s="113" t="str">
        <f t="shared" ref="BF17:BF52" si="16">IF(BE17="","",IF(BE17="pro",1,IF(BE17="lwoo",2,IF(BE17="vmbo-b",3,IF(BE17="vmbo-k",4,IF(BE17="vmbo-g",5,IF(BE17="vmbo-t",6,IF(BE17="havo",7))))))))</f>
        <v/>
      </c>
      <c r="BG17" s="116">
        <f t="shared" ref="BG17:BG52" si="17">IF(BF17="",0,IF(BF17&lt;BC17,0,IF(BF17&gt;=BC17,1)))</f>
        <v>0</v>
      </c>
    </row>
    <row r="18" spans="1:59" ht="15" customHeight="1" x14ac:dyDescent="0.2">
      <c r="A18">
        <v>2</v>
      </c>
      <c r="B18" s="186" t="str">
        <f>BEGINBLAD!B7</f>
        <v>leerling 2</v>
      </c>
      <c r="C18" s="110" t="str">
        <f>IF('RIO - E7'!C18="","",IF('RIO - E7'!C18&gt;"",'RIO - E7'!C18))</f>
        <v>D</v>
      </c>
      <c r="D18" s="149" t="str">
        <f>IF('NW - M8'!N7="","",IF('NW - M8'!N7="A+","A",IF('NW - M8'!N7="A","A",IF('NW - M8'!N7="B","B",IF('NW - M8'!N7="C","C",IF('NW - M8'!N7="C-","C",IF('NW - M8'!N7="D","D",IF('NW - M8'!N7="E","E"))))))))</f>
        <v/>
      </c>
      <c r="E18" s="110"/>
      <c r="F18" s="192">
        <f t="shared" si="0"/>
        <v>2</v>
      </c>
      <c r="G18" s="192" t="str">
        <f t="shared" si="0"/>
        <v/>
      </c>
      <c r="H18" s="191" t="str">
        <f t="shared" ref="H18:H52" si="18">IF(E18="","",IF(E18="A",5,IF(E18="B",4,IF(E18="C",3,IF(E18="D",2,IF(E18="E",1))))))</f>
        <v/>
      </c>
      <c r="I18" s="193">
        <f t="shared" ref="I18:I52" si="19">IF(F18="",H18,IF(H18="",F18,IF(F18&gt;H18,F18,IF(F18&lt;H18,H18,IF(F18=H18,F18)))))</f>
        <v>2</v>
      </c>
      <c r="J18" s="208" t="str">
        <f t="shared" ref="J18:J52" si="20">IF(I18="","",IF(I18=5,"A",IF(I18=4,"B",IF(I18=3,"C",IF(I18=2,"D",IF(I18=1,"E"))))))</f>
        <v>D</v>
      </c>
      <c r="K18" s="210">
        <f t="shared" ref="K18:K52" si="21">IF(I18="","",IF(I18=5,4,IF(I18=4,3.2,IF(I18=3,2.4,IF(I18=2,1.6,IF(I18=1,0.8))))))</f>
        <v>1.6</v>
      </c>
      <c r="L18" s="189"/>
      <c r="M18" s="110"/>
      <c r="N18" s="117"/>
      <c r="O18" s="250">
        <f t="shared" ref="O18:O52" si="22">IF(P18=0,0,IF(P18&gt;=4,"A",IF(P18&gt;=3,"B",IF(P18&gt;2.3,"C",IF(P18&gt;=1,"D",IF(P18&gt;0,"E"))))))</f>
        <v>0</v>
      </c>
      <c r="P18" s="249">
        <f>IF('NW - M8'!D7=0,0,IF('NW - M8'!D7&gt;=0,'NW - M8'!D7))</f>
        <v>0</v>
      </c>
      <c r="Q18" s="206" t="str">
        <f t="shared" ref="Q18:Q52" si="23">IF(K18="","",IF(P18=0,"",IF(P18&gt;0,P18/K18)))</f>
        <v/>
      </c>
      <c r="R18" s="250">
        <f t="shared" ref="R18:R52" si="24">IF(S18=0,0,IF(S18&gt;=4,"A",IF(S18&gt;=3,"B",IF(S18&gt;2.3,"C",IF(S18&gt;=1,"D",IF(S18&gt;0,"E"))))))</f>
        <v>0</v>
      </c>
      <c r="S18" s="249">
        <f>IF('NW - M8'!F7=0,0,IF('NW - M8'!F7&gt;=0,'NW - M8'!F7))</f>
        <v>0</v>
      </c>
      <c r="T18" s="206" t="str">
        <f t="shared" ref="T18:T52" si="25">IF(K18="","",IF(S18=0,"",IF(S18&gt;0,S18/K18)))</f>
        <v/>
      </c>
      <c r="U18" s="250">
        <f t="shared" ref="U18:U52" si="26">IF(V18=0,0,IF(V18&gt;=4,"A",IF(V18&gt;=3,"B",IF(V18&gt;2.3,"C",IF(V18&gt;=1,"D",IF(V18&gt;0,"E"))))))</f>
        <v>0</v>
      </c>
      <c r="V18" s="249">
        <f>IF('NW - M8'!E7=0,0,IF('NW - M8'!E7&gt;=0,'NW - M8'!E7))</f>
        <v>0</v>
      </c>
      <c r="W18" s="206" t="str">
        <f t="shared" ref="W18:W52" si="27">IF(K18="","",IF(V18=0,"",IF(V18&gt;0,V18/K18)))</f>
        <v/>
      </c>
      <c r="X18" s="250">
        <f t="shared" ref="X18:X52" si="28">IF(Y18=0,0,IF(Y18&gt;=4,"A",IF(Y18&gt;=3,"B",IF(Y18&gt;2.3,"C",IF(Y18&gt;=1,"D",IF(Y18&gt;0,"E"))))))</f>
        <v>0</v>
      </c>
      <c r="Y18" s="249">
        <f>IF('NW - M8'!I7=0,0,IF('NW - M8'!I7&gt;=0,'NW - M8'!I7))</f>
        <v>0</v>
      </c>
      <c r="Z18" s="206" t="str">
        <f t="shared" ref="Z18:Z52" si="29">IF(K18="","",IF(Y18=0,"",IF(Y18&gt;0,Y18/K18)))</f>
        <v/>
      </c>
      <c r="AA18" s="250">
        <f t="shared" ref="AA18:AA52" si="30">IF(AB18=0,0,IF(AB18&gt;=4,"A",IF(AB18&gt;=3,"B",IF(AB18&gt;2.3,"C",IF(AB18&gt;=1,"D",IF(AB18&gt;0,"E"))))))</f>
        <v>0</v>
      </c>
      <c r="AB18" s="249">
        <f>IF('NW - M8'!H7=0,0,IF('NW - M8'!H7&gt;=0,'NW - M8'!H7))</f>
        <v>0</v>
      </c>
      <c r="AC18" s="206" t="str">
        <f t="shared" ref="AC18:AC52" si="31">IF(K18="","",IF(AB18=0,"",IF(AB18&gt;0,AB18/K18)))</f>
        <v/>
      </c>
      <c r="AD18" s="1" t="str">
        <f t="shared" ref="AD18:AD52" si="32">IF(J18="","",IF(O18=0,"",IF(Q18&lt;0.8,"",IF(Q18&gt;=0.8,1))))</f>
        <v/>
      </c>
      <c r="AE18" s="1" t="str">
        <f t="shared" ref="AE18:AE52" si="33">IF($J18="","",IF(R18=0,"",IF(T18&lt;0.8,"",IF(T18&gt;=0.8,1))))</f>
        <v/>
      </c>
      <c r="AF18" s="1" t="str">
        <f t="shared" ref="AF18:AF52" si="34">IF($J18="","",IF(U18=0,"",IF(W18&lt;0.8,"",IF(W18&gt;=0.8,1))))</f>
        <v/>
      </c>
      <c r="AG18" s="1" t="str">
        <f t="shared" ref="AG18:AG52" si="35">IF($J18="","",IF(X18=0,"",IF(Z18&lt;0.8,"",IF(Z18&gt;=0.8,1))))</f>
        <v/>
      </c>
      <c r="AH18" s="1" t="str">
        <f t="shared" ref="AH18:AH52" si="36">IF($J18="","",IF(AA18=0,"",IF(AC18&lt;0.8,"",IF(AC18&gt;=0.8,1))))</f>
        <v/>
      </c>
      <c r="AI18" s="1">
        <f t="shared" si="1"/>
        <v>0</v>
      </c>
      <c r="AJ18" s="106" t="b">
        <f t="shared" si="2"/>
        <v>0</v>
      </c>
      <c r="AK18" s="106" t="b">
        <f t="shared" si="3"/>
        <v>0</v>
      </c>
      <c r="AL18" s="106" t="b">
        <f t="shared" si="4"/>
        <v>0</v>
      </c>
      <c r="AM18" s="106">
        <f t="shared" si="5"/>
        <v>0</v>
      </c>
      <c r="AN18" s="106" t="b">
        <f t="shared" si="6"/>
        <v>0</v>
      </c>
      <c r="AO18" s="106" t="b">
        <f t="shared" ref="AO18:AO52" si="37">IF($J18="1",$AV18)</f>
        <v>0</v>
      </c>
      <c r="AP18" s="106" t="b">
        <f t="shared" si="7"/>
        <v>0</v>
      </c>
      <c r="AQ18" s="106" t="b">
        <f t="shared" si="8"/>
        <v>0</v>
      </c>
      <c r="AR18" s="106" t="b">
        <f t="shared" si="9"/>
        <v>0</v>
      </c>
      <c r="AS18" s="106" t="b">
        <f t="shared" si="10"/>
        <v>0</v>
      </c>
      <c r="AT18" s="148">
        <f t="shared" ref="AT18:AT52" si="38">IF(J18="","",IF(J18&gt;0,COUNT(O18+R18+U18+X18+AA18)))</f>
        <v>1</v>
      </c>
      <c r="AU18" s="198">
        <f t="shared" ref="AU18:AU52" si="39">5-AT18</f>
        <v>4</v>
      </c>
      <c r="AV18" s="204">
        <f t="shared" ref="AV18:AV52" si="40">IF(AT18="","",IF(AU18=0,"",IF(AU18&gt;0,AI18/AU18)))</f>
        <v>0</v>
      </c>
      <c r="AW18" s="107" t="str">
        <f t="shared" si="11"/>
        <v/>
      </c>
      <c r="AX18" s="108"/>
      <c r="AY18" s="109" t="str">
        <f t="shared" si="12"/>
        <v/>
      </c>
      <c r="AZ18" s="110"/>
      <c r="BA18" s="111" t="str">
        <f t="shared" si="13"/>
        <v/>
      </c>
      <c r="BB18" s="112"/>
      <c r="BC18" s="113" t="str">
        <f t="shared" si="14"/>
        <v/>
      </c>
      <c r="BD18" s="114">
        <f t="shared" si="15"/>
        <v>0</v>
      </c>
      <c r="BE18" s="118"/>
      <c r="BF18" s="113" t="str">
        <f t="shared" si="16"/>
        <v/>
      </c>
      <c r="BG18" s="116">
        <f t="shared" si="17"/>
        <v>0</v>
      </c>
    </row>
    <row r="19" spans="1:59" ht="15" customHeight="1" x14ac:dyDescent="0.2">
      <c r="A19">
        <v>3</v>
      </c>
      <c r="B19" s="186" t="str">
        <f>BEGINBLAD!B8</f>
        <v>leerling 3</v>
      </c>
      <c r="C19" s="110" t="str">
        <f>IF('RIO - E7'!C19="","",IF('RIO - E7'!C19&gt;"",'RIO - E7'!C19))</f>
        <v>C</v>
      </c>
      <c r="D19" s="149" t="str">
        <f>IF('NW - M8'!N8="","",IF('NW - M8'!N8="A+","A",IF('NW - M8'!N8="A","A",IF('NW - M8'!N8="B","B",IF('NW - M8'!N8="C","C",IF('NW - M8'!N8="C-","C",IF('NW - M8'!N8="D","D",IF('NW - M8'!N8="E","E"))))))))</f>
        <v/>
      </c>
      <c r="E19" s="110"/>
      <c r="F19" s="192">
        <f t="shared" si="0"/>
        <v>3</v>
      </c>
      <c r="G19" s="192" t="str">
        <f t="shared" si="0"/>
        <v/>
      </c>
      <c r="H19" s="191" t="str">
        <f t="shared" si="18"/>
        <v/>
      </c>
      <c r="I19" s="193">
        <f t="shared" si="19"/>
        <v>3</v>
      </c>
      <c r="J19" s="208" t="str">
        <f t="shared" si="20"/>
        <v>C</v>
      </c>
      <c r="K19" s="210">
        <f t="shared" si="21"/>
        <v>2.4</v>
      </c>
      <c r="L19" s="189"/>
      <c r="M19" s="110"/>
      <c r="N19" s="117"/>
      <c r="O19" s="250">
        <f t="shared" si="22"/>
        <v>0</v>
      </c>
      <c r="P19" s="249">
        <f>IF('NW - M8'!D8=0,0,IF('NW - M8'!D8&gt;=0,'NW - M8'!D8))</f>
        <v>0</v>
      </c>
      <c r="Q19" s="206" t="str">
        <f t="shared" si="23"/>
        <v/>
      </c>
      <c r="R19" s="250">
        <f t="shared" si="24"/>
        <v>0</v>
      </c>
      <c r="S19" s="249">
        <f>IF('NW - M8'!F8=0,0,IF('NW - M8'!F8&gt;=0,'NW - M8'!F8))</f>
        <v>0</v>
      </c>
      <c r="T19" s="206" t="str">
        <f t="shared" si="25"/>
        <v/>
      </c>
      <c r="U19" s="250">
        <f t="shared" si="26"/>
        <v>0</v>
      </c>
      <c r="V19" s="249">
        <f>IF('NW - M8'!E8=0,0,IF('NW - M8'!E8&gt;=0,'NW - M8'!E8))</f>
        <v>0</v>
      </c>
      <c r="W19" s="206" t="str">
        <f t="shared" si="27"/>
        <v/>
      </c>
      <c r="X19" s="250">
        <f t="shared" si="28"/>
        <v>0</v>
      </c>
      <c r="Y19" s="249">
        <f>IF('NW - M8'!I8=0,0,IF('NW - M8'!I8&gt;=0,'NW - M8'!I8))</f>
        <v>0</v>
      </c>
      <c r="Z19" s="206" t="str">
        <f t="shared" si="29"/>
        <v/>
      </c>
      <c r="AA19" s="250">
        <f t="shared" si="30"/>
        <v>0</v>
      </c>
      <c r="AB19" s="249">
        <f>IF('NW - M8'!H8=0,0,IF('NW - M8'!H8&gt;=0,'NW - M8'!H8))</f>
        <v>0</v>
      </c>
      <c r="AC19" s="206" t="str">
        <f t="shared" si="31"/>
        <v/>
      </c>
      <c r="AD19" s="1" t="str">
        <f t="shared" si="32"/>
        <v/>
      </c>
      <c r="AE19" s="1" t="str">
        <f t="shared" si="33"/>
        <v/>
      </c>
      <c r="AF19" s="1" t="str">
        <f t="shared" si="34"/>
        <v/>
      </c>
      <c r="AG19" s="1" t="str">
        <f t="shared" si="35"/>
        <v/>
      </c>
      <c r="AH19" s="1" t="str">
        <f t="shared" si="36"/>
        <v/>
      </c>
      <c r="AI19" s="1">
        <f t="shared" si="1"/>
        <v>0</v>
      </c>
      <c r="AJ19" s="106" t="b">
        <f t="shared" si="2"/>
        <v>0</v>
      </c>
      <c r="AK19" s="106" t="b">
        <f t="shared" si="3"/>
        <v>0</v>
      </c>
      <c r="AL19" s="106">
        <f t="shared" si="4"/>
        <v>0</v>
      </c>
      <c r="AM19" s="106" t="b">
        <f t="shared" si="5"/>
        <v>0</v>
      </c>
      <c r="AN19" s="106" t="b">
        <f t="shared" si="6"/>
        <v>0</v>
      </c>
      <c r="AO19" s="106" t="b">
        <f t="shared" si="37"/>
        <v>0</v>
      </c>
      <c r="AP19" s="106" t="b">
        <f t="shared" si="7"/>
        <v>0</v>
      </c>
      <c r="AQ19" s="106" t="b">
        <f t="shared" si="8"/>
        <v>0</v>
      </c>
      <c r="AR19" s="106" t="b">
        <f t="shared" si="9"/>
        <v>0</v>
      </c>
      <c r="AS19" s="106" t="b">
        <f t="shared" si="10"/>
        <v>0</v>
      </c>
      <c r="AT19" s="148">
        <f t="shared" si="38"/>
        <v>1</v>
      </c>
      <c r="AU19" s="198">
        <f t="shared" si="39"/>
        <v>4</v>
      </c>
      <c r="AV19" s="204">
        <f t="shared" si="40"/>
        <v>0</v>
      </c>
      <c r="AW19" s="107" t="str">
        <f t="shared" si="11"/>
        <v/>
      </c>
      <c r="AX19" s="108"/>
      <c r="AY19" s="109" t="str">
        <f t="shared" si="12"/>
        <v/>
      </c>
      <c r="AZ19" s="110"/>
      <c r="BA19" s="111" t="str">
        <f t="shared" si="13"/>
        <v/>
      </c>
      <c r="BB19" s="112"/>
      <c r="BC19" s="113" t="str">
        <f t="shared" si="14"/>
        <v/>
      </c>
      <c r="BD19" s="114">
        <f t="shared" si="15"/>
        <v>0</v>
      </c>
      <c r="BE19" s="118"/>
      <c r="BF19" s="113" t="str">
        <f t="shared" si="16"/>
        <v/>
      </c>
      <c r="BG19" s="116">
        <f t="shared" si="17"/>
        <v>0</v>
      </c>
    </row>
    <row r="20" spans="1:59" ht="15" customHeight="1" x14ac:dyDescent="0.2">
      <c r="A20">
        <v>4</v>
      </c>
      <c r="B20" s="186">
        <f>BEGINBLAD!B9</f>
        <v>0</v>
      </c>
      <c r="C20" s="110" t="str">
        <f>IF('RIO - E7'!C20="","",IF('RIO - E7'!C20&gt;"",'RIO - E7'!C20))</f>
        <v/>
      </c>
      <c r="D20" s="149" t="str">
        <f>IF('NW - M8'!N9="","",IF('NW - M8'!N9="A+","A",IF('NW - M8'!N9="A","A",IF('NW - M8'!N9="B","B",IF('NW - M8'!N9="C","C",IF('NW - M8'!N9="C-","C",IF('NW - M8'!N9="D","D",IF('NW - M8'!N9="E","E"))))))))</f>
        <v/>
      </c>
      <c r="E20" s="110"/>
      <c r="F20" s="192" t="str">
        <f t="shared" si="0"/>
        <v/>
      </c>
      <c r="G20" s="192" t="str">
        <f t="shared" si="0"/>
        <v/>
      </c>
      <c r="H20" s="191" t="str">
        <f t="shared" si="18"/>
        <v/>
      </c>
      <c r="I20" s="193" t="str">
        <f t="shared" si="19"/>
        <v/>
      </c>
      <c r="J20" s="208" t="str">
        <f t="shared" si="20"/>
        <v/>
      </c>
      <c r="K20" s="210" t="str">
        <f t="shared" si="21"/>
        <v/>
      </c>
      <c r="L20" s="189"/>
      <c r="M20" s="110"/>
      <c r="N20" s="117"/>
      <c r="O20" s="250">
        <f t="shared" si="22"/>
        <v>0</v>
      </c>
      <c r="P20" s="249">
        <f>IF('NW - M8'!D9=0,0,IF('NW - M8'!D9&gt;=0,'NW - M8'!D9))</f>
        <v>0</v>
      </c>
      <c r="Q20" s="206" t="str">
        <f t="shared" si="23"/>
        <v/>
      </c>
      <c r="R20" s="250">
        <f t="shared" si="24"/>
        <v>0</v>
      </c>
      <c r="S20" s="249">
        <f>IF('NW - M8'!F9=0,0,IF('NW - M8'!F9&gt;=0,'NW - M8'!F9))</f>
        <v>0</v>
      </c>
      <c r="T20" s="206" t="str">
        <f t="shared" si="25"/>
        <v/>
      </c>
      <c r="U20" s="250">
        <f t="shared" si="26"/>
        <v>0</v>
      </c>
      <c r="V20" s="249">
        <f>IF('NW - M8'!E9=0,0,IF('NW - M8'!E9&gt;=0,'NW - M8'!E9))</f>
        <v>0</v>
      </c>
      <c r="W20" s="206" t="str">
        <f t="shared" si="27"/>
        <v/>
      </c>
      <c r="X20" s="250">
        <f t="shared" si="28"/>
        <v>0</v>
      </c>
      <c r="Y20" s="249">
        <f>IF('NW - M8'!I9=0,0,IF('NW - M8'!I9&gt;=0,'NW - M8'!I9))</f>
        <v>0</v>
      </c>
      <c r="Z20" s="206" t="str">
        <f t="shared" si="29"/>
        <v/>
      </c>
      <c r="AA20" s="250">
        <f t="shared" si="30"/>
        <v>0</v>
      </c>
      <c r="AB20" s="249">
        <f>IF('NW - M8'!H9=0,0,IF('NW - M8'!H9&gt;=0,'NW - M8'!H9))</f>
        <v>0</v>
      </c>
      <c r="AC20" s="206" t="str">
        <f t="shared" si="31"/>
        <v/>
      </c>
      <c r="AD20" s="1" t="str">
        <f t="shared" si="32"/>
        <v/>
      </c>
      <c r="AE20" s="1" t="str">
        <f t="shared" si="33"/>
        <v/>
      </c>
      <c r="AF20" s="1" t="str">
        <f t="shared" si="34"/>
        <v/>
      </c>
      <c r="AG20" s="1" t="str">
        <f t="shared" si="35"/>
        <v/>
      </c>
      <c r="AH20" s="1" t="str">
        <f t="shared" si="36"/>
        <v/>
      </c>
      <c r="AI20" s="1">
        <f t="shared" si="1"/>
        <v>0</v>
      </c>
      <c r="AJ20" s="106" t="b">
        <f t="shared" si="2"/>
        <v>0</v>
      </c>
      <c r="AK20" s="106" t="b">
        <f t="shared" si="3"/>
        <v>0</v>
      </c>
      <c r="AL20" s="106" t="b">
        <f t="shared" si="4"/>
        <v>0</v>
      </c>
      <c r="AM20" s="106" t="b">
        <f t="shared" si="5"/>
        <v>0</v>
      </c>
      <c r="AN20" s="106" t="b">
        <f t="shared" si="6"/>
        <v>0</v>
      </c>
      <c r="AO20" s="106" t="b">
        <f t="shared" si="37"/>
        <v>0</v>
      </c>
      <c r="AP20" s="106" t="b">
        <f t="shared" si="7"/>
        <v>0</v>
      </c>
      <c r="AQ20" s="106" t="b">
        <f t="shared" si="8"/>
        <v>0</v>
      </c>
      <c r="AR20" s="106" t="b">
        <f t="shared" si="9"/>
        <v>0</v>
      </c>
      <c r="AS20" s="106" t="b">
        <f t="shared" si="10"/>
        <v>0</v>
      </c>
      <c r="AT20" s="148" t="str">
        <f t="shared" si="38"/>
        <v/>
      </c>
      <c r="AU20" s="198" t="e">
        <f t="shared" si="39"/>
        <v>#VALUE!</v>
      </c>
      <c r="AV20" s="204" t="str">
        <f t="shared" si="40"/>
        <v/>
      </c>
      <c r="AW20" s="107" t="str">
        <f t="shared" si="11"/>
        <v/>
      </c>
      <c r="AX20" s="108"/>
      <c r="AY20" s="109" t="str">
        <f t="shared" si="12"/>
        <v/>
      </c>
      <c r="AZ20" s="110"/>
      <c r="BA20" s="111" t="str">
        <f t="shared" si="13"/>
        <v/>
      </c>
      <c r="BB20" s="112"/>
      <c r="BC20" s="113" t="str">
        <f t="shared" si="14"/>
        <v/>
      </c>
      <c r="BD20" s="114">
        <f t="shared" si="15"/>
        <v>0</v>
      </c>
      <c r="BE20" s="118"/>
      <c r="BF20" s="113" t="str">
        <f t="shared" si="16"/>
        <v/>
      </c>
      <c r="BG20" s="116">
        <f t="shared" si="17"/>
        <v>0</v>
      </c>
    </row>
    <row r="21" spans="1:59" ht="15" customHeight="1" x14ac:dyDescent="0.2">
      <c r="A21">
        <v>5</v>
      </c>
      <c r="B21" s="186">
        <f>BEGINBLAD!B10</f>
        <v>0</v>
      </c>
      <c r="C21" s="110" t="str">
        <f>IF('RIO - E7'!C21="","",IF('RIO - E7'!C21&gt;"",'RIO - E7'!C21))</f>
        <v/>
      </c>
      <c r="D21" s="149" t="str">
        <f>IF('NW - M8'!N10="","",IF('NW - M8'!N10="A+","A",IF('NW - M8'!N10="A","A",IF('NW - M8'!N10="B","B",IF('NW - M8'!N10="C","C",IF('NW - M8'!N10="C-","C",IF('NW - M8'!N10="D","D",IF('NW - M8'!N10="E","E"))))))))</f>
        <v/>
      </c>
      <c r="E21" s="110"/>
      <c r="F21" s="192" t="str">
        <f t="shared" si="0"/>
        <v/>
      </c>
      <c r="G21" s="192" t="str">
        <f t="shared" si="0"/>
        <v/>
      </c>
      <c r="H21" s="191" t="str">
        <f t="shared" si="18"/>
        <v/>
      </c>
      <c r="I21" s="193" t="str">
        <f t="shared" si="19"/>
        <v/>
      </c>
      <c r="J21" s="208" t="str">
        <f t="shared" si="20"/>
        <v/>
      </c>
      <c r="K21" s="210" t="str">
        <f t="shared" si="21"/>
        <v/>
      </c>
      <c r="L21" s="189"/>
      <c r="M21" s="110"/>
      <c r="N21" s="117"/>
      <c r="O21" s="250">
        <f t="shared" si="22"/>
        <v>0</v>
      </c>
      <c r="P21" s="249">
        <f>IF('NW - M8'!D10=0,0,IF('NW - M8'!D10&gt;=0,'NW - M8'!D10))</f>
        <v>0</v>
      </c>
      <c r="Q21" s="206" t="str">
        <f t="shared" si="23"/>
        <v/>
      </c>
      <c r="R21" s="250">
        <f t="shared" si="24"/>
        <v>0</v>
      </c>
      <c r="S21" s="249">
        <f>IF('NW - M8'!F10=0,0,IF('NW - M8'!F10&gt;=0,'NW - M8'!F10))</f>
        <v>0</v>
      </c>
      <c r="T21" s="206" t="str">
        <f t="shared" si="25"/>
        <v/>
      </c>
      <c r="U21" s="250">
        <f t="shared" si="26"/>
        <v>0</v>
      </c>
      <c r="V21" s="249">
        <f>IF('NW - M8'!E10=0,0,IF('NW - M8'!E10&gt;=0,'NW - M8'!E10))</f>
        <v>0</v>
      </c>
      <c r="W21" s="206" t="str">
        <f t="shared" si="27"/>
        <v/>
      </c>
      <c r="X21" s="250">
        <f t="shared" si="28"/>
        <v>0</v>
      </c>
      <c r="Y21" s="249">
        <f>IF('NW - M8'!I10=0,0,IF('NW - M8'!I10&gt;=0,'NW - M8'!I10))</f>
        <v>0</v>
      </c>
      <c r="Z21" s="206" t="str">
        <f t="shared" si="29"/>
        <v/>
      </c>
      <c r="AA21" s="250">
        <f t="shared" si="30"/>
        <v>0</v>
      </c>
      <c r="AB21" s="249">
        <f>IF('NW - M8'!H10=0,0,IF('NW - M8'!H10&gt;=0,'NW - M8'!H10))</f>
        <v>0</v>
      </c>
      <c r="AC21" s="206" t="str">
        <f t="shared" si="31"/>
        <v/>
      </c>
      <c r="AD21" s="1" t="str">
        <f t="shared" si="32"/>
        <v/>
      </c>
      <c r="AE21" s="1" t="str">
        <f t="shared" si="33"/>
        <v/>
      </c>
      <c r="AF21" s="1" t="str">
        <f t="shared" si="34"/>
        <v/>
      </c>
      <c r="AG21" s="1" t="str">
        <f t="shared" si="35"/>
        <v/>
      </c>
      <c r="AH21" s="1" t="str">
        <f t="shared" si="36"/>
        <v/>
      </c>
      <c r="AI21" s="1">
        <f t="shared" si="1"/>
        <v>0</v>
      </c>
      <c r="AJ21" s="106" t="b">
        <f t="shared" si="2"/>
        <v>0</v>
      </c>
      <c r="AK21" s="106" t="b">
        <f t="shared" si="3"/>
        <v>0</v>
      </c>
      <c r="AL21" s="106" t="b">
        <f t="shared" si="4"/>
        <v>0</v>
      </c>
      <c r="AM21" s="106" t="b">
        <f t="shared" si="5"/>
        <v>0</v>
      </c>
      <c r="AN21" s="106" t="b">
        <f t="shared" si="6"/>
        <v>0</v>
      </c>
      <c r="AO21" s="106" t="b">
        <f t="shared" si="37"/>
        <v>0</v>
      </c>
      <c r="AP21" s="106" t="b">
        <f t="shared" si="7"/>
        <v>0</v>
      </c>
      <c r="AQ21" s="106" t="b">
        <f t="shared" si="8"/>
        <v>0</v>
      </c>
      <c r="AR21" s="106" t="b">
        <f t="shared" si="9"/>
        <v>0</v>
      </c>
      <c r="AS21" s="106" t="b">
        <f t="shared" si="10"/>
        <v>0</v>
      </c>
      <c r="AT21" s="148" t="str">
        <f t="shared" si="38"/>
        <v/>
      </c>
      <c r="AU21" s="198" t="e">
        <f t="shared" si="39"/>
        <v>#VALUE!</v>
      </c>
      <c r="AV21" s="204" t="str">
        <f t="shared" si="40"/>
        <v/>
      </c>
      <c r="AW21" s="107" t="str">
        <f t="shared" si="11"/>
        <v/>
      </c>
      <c r="AX21" s="108"/>
      <c r="AY21" s="109" t="str">
        <f t="shared" si="12"/>
        <v/>
      </c>
      <c r="AZ21" s="110"/>
      <c r="BA21" s="111" t="str">
        <f t="shared" si="13"/>
        <v/>
      </c>
      <c r="BB21" s="112"/>
      <c r="BC21" s="113" t="str">
        <f t="shared" si="14"/>
        <v/>
      </c>
      <c r="BD21" s="114">
        <f t="shared" si="15"/>
        <v>0</v>
      </c>
      <c r="BE21" s="118"/>
      <c r="BF21" s="113" t="str">
        <f t="shared" si="16"/>
        <v/>
      </c>
      <c r="BG21" s="116">
        <f t="shared" si="17"/>
        <v>0</v>
      </c>
    </row>
    <row r="22" spans="1:59" ht="15" customHeight="1" x14ac:dyDescent="0.2">
      <c r="A22">
        <v>6</v>
      </c>
      <c r="B22" s="186">
        <f>BEGINBLAD!B11</f>
        <v>0</v>
      </c>
      <c r="C22" s="110" t="str">
        <f>IF('RIO - E7'!C22="","",IF('RIO - E7'!C22&gt;"",'RIO - E7'!C22))</f>
        <v/>
      </c>
      <c r="D22" s="149" t="str">
        <f>IF('NW - M8'!N11="","",IF('NW - M8'!N11="A+","A",IF('NW - M8'!N11="A","A",IF('NW - M8'!N11="B","B",IF('NW - M8'!N11="C","C",IF('NW - M8'!N11="C-","C",IF('NW - M8'!N11="D","D",IF('NW - M8'!N11="E","E"))))))))</f>
        <v/>
      </c>
      <c r="E22" s="110"/>
      <c r="F22" s="192" t="str">
        <f t="shared" si="0"/>
        <v/>
      </c>
      <c r="G22" s="192" t="str">
        <f t="shared" si="0"/>
        <v/>
      </c>
      <c r="H22" s="191" t="str">
        <f t="shared" si="18"/>
        <v/>
      </c>
      <c r="I22" s="193" t="str">
        <f t="shared" si="19"/>
        <v/>
      </c>
      <c r="J22" s="208" t="str">
        <f t="shared" si="20"/>
        <v/>
      </c>
      <c r="K22" s="210" t="str">
        <f t="shared" si="21"/>
        <v/>
      </c>
      <c r="L22" s="189"/>
      <c r="M22" s="110"/>
      <c r="N22" s="117"/>
      <c r="O22" s="250">
        <f t="shared" si="22"/>
        <v>0</v>
      </c>
      <c r="P22" s="249">
        <f>IF('NW - M8'!D11=0,0,IF('NW - M8'!D11&gt;=0,'NW - M8'!D11))</f>
        <v>0</v>
      </c>
      <c r="Q22" s="206" t="str">
        <f t="shared" si="23"/>
        <v/>
      </c>
      <c r="R22" s="250">
        <f t="shared" si="24"/>
        <v>0</v>
      </c>
      <c r="S22" s="249">
        <f>IF('NW - M8'!F11=0,0,IF('NW - M8'!F11&gt;=0,'NW - M8'!F11))</f>
        <v>0</v>
      </c>
      <c r="T22" s="206" t="str">
        <f t="shared" si="25"/>
        <v/>
      </c>
      <c r="U22" s="250">
        <f t="shared" si="26"/>
        <v>0</v>
      </c>
      <c r="V22" s="249">
        <f>IF('NW - M8'!E11=0,0,IF('NW - M8'!E11&gt;=0,'NW - M8'!E11))</f>
        <v>0</v>
      </c>
      <c r="W22" s="206" t="str">
        <f t="shared" si="27"/>
        <v/>
      </c>
      <c r="X22" s="250">
        <f t="shared" si="28"/>
        <v>0</v>
      </c>
      <c r="Y22" s="249">
        <f>IF('NW - M8'!I11=0,0,IF('NW - M8'!I11&gt;=0,'NW - M8'!I11))</f>
        <v>0</v>
      </c>
      <c r="Z22" s="206" t="str">
        <f t="shared" si="29"/>
        <v/>
      </c>
      <c r="AA22" s="250">
        <f t="shared" si="30"/>
        <v>0</v>
      </c>
      <c r="AB22" s="249">
        <f>IF('NW - M8'!H11=0,0,IF('NW - M8'!H11&gt;=0,'NW - M8'!H11))</f>
        <v>0</v>
      </c>
      <c r="AC22" s="206" t="str">
        <f t="shared" si="31"/>
        <v/>
      </c>
      <c r="AD22" s="1" t="str">
        <f t="shared" si="32"/>
        <v/>
      </c>
      <c r="AE22" s="1" t="str">
        <f t="shared" si="33"/>
        <v/>
      </c>
      <c r="AF22" s="1" t="str">
        <f t="shared" si="34"/>
        <v/>
      </c>
      <c r="AG22" s="1" t="str">
        <f t="shared" si="35"/>
        <v/>
      </c>
      <c r="AH22" s="1" t="str">
        <f t="shared" si="36"/>
        <v/>
      </c>
      <c r="AI22" s="1">
        <f t="shared" si="1"/>
        <v>0</v>
      </c>
      <c r="AJ22" s="106" t="b">
        <f t="shared" si="2"/>
        <v>0</v>
      </c>
      <c r="AK22" s="106" t="b">
        <f t="shared" si="3"/>
        <v>0</v>
      </c>
      <c r="AL22" s="106" t="b">
        <f t="shared" si="4"/>
        <v>0</v>
      </c>
      <c r="AM22" s="106" t="b">
        <f t="shared" si="5"/>
        <v>0</v>
      </c>
      <c r="AN22" s="106" t="b">
        <f t="shared" si="6"/>
        <v>0</v>
      </c>
      <c r="AO22" s="106" t="b">
        <f t="shared" si="37"/>
        <v>0</v>
      </c>
      <c r="AP22" s="106" t="b">
        <f t="shared" si="7"/>
        <v>0</v>
      </c>
      <c r="AQ22" s="106" t="b">
        <f t="shared" si="8"/>
        <v>0</v>
      </c>
      <c r="AR22" s="106" t="b">
        <f t="shared" si="9"/>
        <v>0</v>
      </c>
      <c r="AS22" s="106" t="b">
        <f t="shared" si="10"/>
        <v>0</v>
      </c>
      <c r="AT22" s="148" t="str">
        <f t="shared" si="38"/>
        <v/>
      </c>
      <c r="AU22" s="198" t="e">
        <f t="shared" si="39"/>
        <v>#VALUE!</v>
      </c>
      <c r="AV22" s="204" t="str">
        <f t="shared" si="40"/>
        <v/>
      </c>
      <c r="AW22" s="107" t="str">
        <f t="shared" si="11"/>
        <v/>
      </c>
      <c r="AX22" s="108"/>
      <c r="AY22" s="109" t="str">
        <f t="shared" si="12"/>
        <v/>
      </c>
      <c r="AZ22" s="110"/>
      <c r="BA22" s="111" t="str">
        <f t="shared" si="13"/>
        <v/>
      </c>
      <c r="BB22" s="112"/>
      <c r="BC22" s="113" t="str">
        <f t="shared" si="14"/>
        <v/>
      </c>
      <c r="BD22" s="114">
        <f t="shared" si="15"/>
        <v>0</v>
      </c>
      <c r="BE22" s="118"/>
      <c r="BF22" s="113" t="str">
        <f t="shared" si="16"/>
        <v/>
      </c>
      <c r="BG22" s="116">
        <f t="shared" si="17"/>
        <v>0</v>
      </c>
    </row>
    <row r="23" spans="1:59" ht="15" customHeight="1" x14ac:dyDescent="0.2">
      <c r="A23">
        <v>7</v>
      </c>
      <c r="B23" s="186">
        <f>BEGINBLAD!B12</f>
        <v>0</v>
      </c>
      <c r="C23" s="110" t="str">
        <f>IF('RIO - E7'!C23="","",IF('RIO - E7'!C23&gt;"",'RIO - E7'!C23))</f>
        <v/>
      </c>
      <c r="D23" s="149" t="str">
        <f>IF('NW - M8'!N12="","",IF('NW - M8'!N12="A+","A",IF('NW - M8'!N12="A","A",IF('NW - M8'!N12="B","B",IF('NW - M8'!N12="C","C",IF('NW - M8'!N12="C-","C",IF('NW - M8'!N12="D","D",IF('NW - M8'!N12="E","E"))))))))</f>
        <v/>
      </c>
      <c r="E23" s="110"/>
      <c r="F23" s="192" t="str">
        <f t="shared" si="0"/>
        <v/>
      </c>
      <c r="G23" s="192" t="str">
        <f t="shared" si="0"/>
        <v/>
      </c>
      <c r="H23" s="191" t="str">
        <f t="shared" si="18"/>
        <v/>
      </c>
      <c r="I23" s="193" t="str">
        <f t="shared" si="19"/>
        <v/>
      </c>
      <c r="J23" s="208" t="str">
        <f t="shared" si="20"/>
        <v/>
      </c>
      <c r="K23" s="210" t="str">
        <f t="shared" si="21"/>
        <v/>
      </c>
      <c r="L23" s="189"/>
      <c r="M23" s="110"/>
      <c r="N23" s="117"/>
      <c r="O23" s="250">
        <f t="shared" si="22"/>
        <v>0</v>
      </c>
      <c r="P23" s="249">
        <f>IF('NW - M8'!D12=0,0,IF('NW - M8'!D12&gt;=0,'NW - M8'!D12))</f>
        <v>0</v>
      </c>
      <c r="Q23" s="206" t="str">
        <f t="shared" si="23"/>
        <v/>
      </c>
      <c r="R23" s="250">
        <f t="shared" si="24"/>
        <v>0</v>
      </c>
      <c r="S23" s="249">
        <f>IF('NW - M8'!F12=0,0,IF('NW - M8'!F12&gt;=0,'NW - M8'!F12))</f>
        <v>0</v>
      </c>
      <c r="T23" s="206" t="str">
        <f t="shared" si="25"/>
        <v/>
      </c>
      <c r="U23" s="250">
        <f t="shared" si="26"/>
        <v>0</v>
      </c>
      <c r="V23" s="249">
        <f>IF('NW - M8'!E12=0,0,IF('NW - M8'!E12&gt;=0,'NW - M8'!E12))</f>
        <v>0</v>
      </c>
      <c r="W23" s="206" t="str">
        <f t="shared" si="27"/>
        <v/>
      </c>
      <c r="X23" s="250">
        <f t="shared" si="28"/>
        <v>0</v>
      </c>
      <c r="Y23" s="249">
        <f>IF('NW - M8'!I12=0,0,IF('NW - M8'!I12&gt;=0,'NW - M8'!I12))</f>
        <v>0</v>
      </c>
      <c r="Z23" s="206" t="str">
        <f t="shared" si="29"/>
        <v/>
      </c>
      <c r="AA23" s="250">
        <f t="shared" si="30"/>
        <v>0</v>
      </c>
      <c r="AB23" s="249">
        <f>IF('NW - M8'!H12=0,0,IF('NW - M8'!H12&gt;=0,'NW - M8'!H12))</f>
        <v>0</v>
      </c>
      <c r="AC23" s="206" t="str">
        <f t="shared" si="31"/>
        <v/>
      </c>
      <c r="AD23" s="1" t="str">
        <f t="shared" si="32"/>
        <v/>
      </c>
      <c r="AE23" s="1" t="str">
        <f t="shared" si="33"/>
        <v/>
      </c>
      <c r="AF23" s="1" t="str">
        <f t="shared" si="34"/>
        <v/>
      </c>
      <c r="AG23" s="1" t="str">
        <f t="shared" si="35"/>
        <v/>
      </c>
      <c r="AH23" s="1" t="str">
        <f t="shared" si="36"/>
        <v/>
      </c>
      <c r="AI23" s="1">
        <f t="shared" si="1"/>
        <v>0</v>
      </c>
      <c r="AJ23" s="106" t="b">
        <f t="shared" si="2"/>
        <v>0</v>
      </c>
      <c r="AK23" s="106" t="b">
        <f t="shared" si="3"/>
        <v>0</v>
      </c>
      <c r="AL23" s="106" t="b">
        <f t="shared" si="4"/>
        <v>0</v>
      </c>
      <c r="AM23" s="106" t="b">
        <f t="shared" si="5"/>
        <v>0</v>
      </c>
      <c r="AN23" s="106" t="b">
        <f t="shared" si="6"/>
        <v>0</v>
      </c>
      <c r="AO23" s="106" t="b">
        <f t="shared" si="37"/>
        <v>0</v>
      </c>
      <c r="AP23" s="106" t="b">
        <f t="shared" si="7"/>
        <v>0</v>
      </c>
      <c r="AQ23" s="106" t="b">
        <f t="shared" si="8"/>
        <v>0</v>
      </c>
      <c r="AR23" s="106" t="b">
        <f t="shared" si="9"/>
        <v>0</v>
      </c>
      <c r="AS23" s="106" t="b">
        <f t="shared" si="10"/>
        <v>0</v>
      </c>
      <c r="AT23" s="148" t="str">
        <f t="shared" si="38"/>
        <v/>
      </c>
      <c r="AU23" s="198" t="e">
        <f t="shared" si="39"/>
        <v>#VALUE!</v>
      </c>
      <c r="AV23" s="204" t="str">
        <f t="shared" si="40"/>
        <v/>
      </c>
      <c r="AW23" s="107" t="str">
        <f t="shared" si="11"/>
        <v/>
      </c>
      <c r="AX23" s="108"/>
      <c r="AY23" s="109" t="str">
        <f t="shared" si="12"/>
        <v/>
      </c>
      <c r="AZ23" s="110"/>
      <c r="BA23" s="111" t="str">
        <f t="shared" si="13"/>
        <v/>
      </c>
      <c r="BB23" s="112"/>
      <c r="BC23" s="113" t="str">
        <f t="shared" si="14"/>
        <v/>
      </c>
      <c r="BD23" s="114">
        <f t="shared" si="15"/>
        <v>0</v>
      </c>
      <c r="BE23" s="118"/>
      <c r="BF23" s="113" t="str">
        <f t="shared" si="16"/>
        <v/>
      </c>
      <c r="BG23" s="116">
        <f t="shared" si="17"/>
        <v>0</v>
      </c>
    </row>
    <row r="24" spans="1:59" ht="15" customHeight="1" x14ac:dyDescent="0.2">
      <c r="A24">
        <v>8</v>
      </c>
      <c r="B24" s="186">
        <f>BEGINBLAD!B13</f>
        <v>0</v>
      </c>
      <c r="C24" s="110" t="str">
        <f>IF('RIO - E7'!C24="","",IF('RIO - E7'!C24&gt;"",'RIO - E7'!C24))</f>
        <v/>
      </c>
      <c r="D24" s="149" t="str">
        <f>IF('NW - M8'!N13="","",IF('NW - M8'!N13="A+","A",IF('NW - M8'!N13="A","A",IF('NW - M8'!N13="B","B",IF('NW - M8'!N13="C","C",IF('NW - M8'!N13="C-","C",IF('NW - M8'!N13="D","D",IF('NW - M8'!N13="E","E"))))))))</f>
        <v/>
      </c>
      <c r="E24" s="110"/>
      <c r="F24" s="192" t="str">
        <f t="shared" si="0"/>
        <v/>
      </c>
      <c r="G24" s="192" t="str">
        <f t="shared" si="0"/>
        <v/>
      </c>
      <c r="H24" s="191" t="str">
        <f t="shared" si="18"/>
        <v/>
      </c>
      <c r="I24" s="193" t="str">
        <f t="shared" si="19"/>
        <v/>
      </c>
      <c r="J24" s="208" t="str">
        <f t="shared" si="20"/>
        <v/>
      </c>
      <c r="K24" s="210" t="str">
        <f t="shared" si="21"/>
        <v/>
      </c>
      <c r="L24" s="189"/>
      <c r="M24" s="110"/>
      <c r="N24" s="117"/>
      <c r="O24" s="250">
        <f t="shared" si="22"/>
        <v>0</v>
      </c>
      <c r="P24" s="249">
        <f>IF('NW - M8'!D13=0,0,IF('NW - M8'!D13&gt;=0,'NW - M8'!D13))</f>
        <v>0</v>
      </c>
      <c r="Q24" s="206" t="str">
        <f t="shared" si="23"/>
        <v/>
      </c>
      <c r="R24" s="250">
        <f t="shared" si="24"/>
        <v>0</v>
      </c>
      <c r="S24" s="249">
        <f>IF('NW - M8'!F13=0,0,IF('NW - M8'!F13&gt;=0,'NW - M8'!F13))</f>
        <v>0</v>
      </c>
      <c r="T24" s="206" t="str">
        <f t="shared" si="25"/>
        <v/>
      </c>
      <c r="U24" s="250">
        <f t="shared" si="26"/>
        <v>0</v>
      </c>
      <c r="V24" s="249">
        <f>IF('NW - M8'!E13=0,0,IF('NW - M8'!E13&gt;=0,'NW - M8'!E13))</f>
        <v>0</v>
      </c>
      <c r="W24" s="206" t="str">
        <f t="shared" si="27"/>
        <v/>
      </c>
      <c r="X24" s="250">
        <f t="shared" si="28"/>
        <v>0</v>
      </c>
      <c r="Y24" s="249">
        <f>IF('NW - M8'!I13=0,0,IF('NW - M8'!I13&gt;=0,'NW - M8'!I13))</f>
        <v>0</v>
      </c>
      <c r="Z24" s="206" t="str">
        <f t="shared" si="29"/>
        <v/>
      </c>
      <c r="AA24" s="250">
        <f t="shared" si="30"/>
        <v>0</v>
      </c>
      <c r="AB24" s="249">
        <f>IF('NW - M8'!H13=0,0,IF('NW - M8'!H13&gt;=0,'NW - M8'!H13))</f>
        <v>0</v>
      </c>
      <c r="AC24" s="206" t="str">
        <f t="shared" si="31"/>
        <v/>
      </c>
      <c r="AD24" s="1" t="str">
        <f t="shared" si="32"/>
        <v/>
      </c>
      <c r="AE24" s="1" t="str">
        <f t="shared" si="33"/>
        <v/>
      </c>
      <c r="AF24" s="1" t="str">
        <f t="shared" si="34"/>
        <v/>
      </c>
      <c r="AG24" s="1" t="str">
        <f t="shared" si="35"/>
        <v/>
      </c>
      <c r="AH24" s="1" t="str">
        <f t="shared" si="36"/>
        <v/>
      </c>
      <c r="AI24" s="1">
        <f t="shared" si="1"/>
        <v>0</v>
      </c>
      <c r="AJ24" s="106" t="b">
        <f t="shared" si="2"/>
        <v>0</v>
      </c>
      <c r="AK24" s="106" t="b">
        <f t="shared" si="3"/>
        <v>0</v>
      </c>
      <c r="AL24" s="106" t="b">
        <f t="shared" si="4"/>
        <v>0</v>
      </c>
      <c r="AM24" s="106" t="b">
        <f t="shared" si="5"/>
        <v>0</v>
      </c>
      <c r="AN24" s="106" t="b">
        <f t="shared" si="6"/>
        <v>0</v>
      </c>
      <c r="AO24" s="106" t="b">
        <f t="shared" si="37"/>
        <v>0</v>
      </c>
      <c r="AP24" s="106" t="b">
        <f t="shared" si="7"/>
        <v>0</v>
      </c>
      <c r="AQ24" s="106" t="b">
        <f t="shared" si="8"/>
        <v>0</v>
      </c>
      <c r="AR24" s="106" t="b">
        <f t="shared" si="9"/>
        <v>0</v>
      </c>
      <c r="AS24" s="106" t="b">
        <f t="shared" si="10"/>
        <v>0</v>
      </c>
      <c r="AT24" s="148" t="str">
        <f t="shared" si="38"/>
        <v/>
      </c>
      <c r="AU24" s="198" t="e">
        <f t="shared" si="39"/>
        <v>#VALUE!</v>
      </c>
      <c r="AV24" s="204" t="str">
        <f t="shared" si="40"/>
        <v/>
      </c>
      <c r="AW24" s="107" t="str">
        <f t="shared" si="11"/>
        <v/>
      </c>
      <c r="AX24" s="108" t="s">
        <v>28</v>
      </c>
      <c r="AY24" s="109" t="str">
        <f t="shared" si="12"/>
        <v/>
      </c>
      <c r="AZ24" s="110"/>
      <c r="BA24" s="111" t="str">
        <f t="shared" si="13"/>
        <v/>
      </c>
      <c r="BB24" s="112"/>
      <c r="BC24" s="113" t="str">
        <f t="shared" si="14"/>
        <v/>
      </c>
      <c r="BD24" s="114">
        <f t="shared" si="15"/>
        <v>0</v>
      </c>
      <c r="BE24" s="118"/>
      <c r="BF24" s="113" t="str">
        <f t="shared" si="16"/>
        <v/>
      </c>
      <c r="BG24" s="116">
        <f t="shared" si="17"/>
        <v>0</v>
      </c>
    </row>
    <row r="25" spans="1:59" ht="15" customHeight="1" x14ac:dyDescent="0.2">
      <c r="A25">
        <v>9</v>
      </c>
      <c r="B25" s="186">
        <f>BEGINBLAD!B14</f>
        <v>0</v>
      </c>
      <c r="C25" s="110" t="str">
        <f>IF('RIO - E7'!C25="","",IF('RIO - E7'!C25&gt;"",'RIO - E7'!C25))</f>
        <v/>
      </c>
      <c r="D25" s="149" t="str">
        <f>IF('NW - M8'!N14="","",IF('NW - M8'!N14="A+","A",IF('NW - M8'!N14="A","A",IF('NW - M8'!N14="B","B",IF('NW - M8'!N14="C","C",IF('NW - M8'!N14="C-","C",IF('NW - M8'!N14="D","D",IF('NW - M8'!N14="E","E"))))))))</f>
        <v/>
      </c>
      <c r="E25" s="110"/>
      <c r="F25" s="192" t="str">
        <f t="shared" si="0"/>
        <v/>
      </c>
      <c r="G25" s="192" t="str">
        <f t="shared" si="0"/>
        <v/>
      </c>
      <c r="H25" s="191" t="str">
        <f t="shared" si="18"/>
        <v/>
      </c>
      <c r="I25" s="193" t="str">
        <f t="shared" si="19"/>
        <v/>
      </c>
      <c r="J25" s="208" t="str">
        <f t="shared" si="20"/>
        <v/>
      </c>
      <c r="K25" s="210" t="str">
        <f t="shared" si="21"/>
        <v/>
      </c>
      <c r="L25" s="189"/>
      <c r="M25" s="110"/>
      <c r="N25" s="117"/>
      <c r="O25" s="250">
        <f t="shared" si="22"/>
        <v>0</v>
      </c>
      <c r="P25" s="249">
        <f>IF('NW - M8'!D14=0,0,IF('NW - M8'!D14&gt;=0,'NW - M8'!D14))</f>
        <v>0</v>
      </c>
      <c r="Q25" s="206" t="str">
        <f t="shared" si="23"/>
        <v/>
      </c>
      <c r="R25" s="250">
        <f t="shared" si="24"/>
        <v>0</v>
      </c>
      <c r="S25" s="249">
        <f>IF('NW - M8'!F14=0,0,IF('NW - M8'!F14&gt;=0,'NW - M8'!F14))</f>
        <v>0</v>
      </c>
      <c r="T25" s="206" t="str">
        <f t="shared" si="25"/>
        <v/>
      </c>
      <c r="U25" s="250">
        <f t="shared" si="26"/>
        <v>0</v>
      </c>
      <c r="V25" s="249">
        <f>IF('NW - M8'!E14=0,0,IF('NW - M8'!E14&gt;=0,'NW - M8'!E14))</f>
        <v>0</v>
      </c>
      <c r="W25" s="206" t="str">
        <f t="shared" si="27"/>
        <v/>
      </c>
      <c r="X25" s="250">
        <f t="shared" si="28"/>
        <v>0</v>
      </c>
      <c r="Y25" s="249">
        <f>IF('NW - M8'!I14=0,0,IF('NW - M8'!I14&gt;=0,'NW - M8'!I14))</f>
        <v>0</v>
      </c>
      <c r="Z25" s="206" t="str">
        <f t="shared" si="29"/>
        <v/>
      </c>
      <c r="AA25" s="250">
        <f t="shared" si="30"/>
        <v>0</v>
      </c>
      <c r="AB25" s="249">
        <f>IF('NW - M8'!H14=0,0,IF('NW - M8'!H14&gt;=0,'NW - M8'!H14))</f>
        <v>0</v>
      </c>
      <c r="AC25" s="206" t="str">
        <f t="shared" si="31"/>
        <v/>
      </c>
      <c r="AD25" s="1" t="str">
        <f t="shared" si="32"/>
        <v/>
      </c>
      <c r="AE25" s="1" t="str">
        <f t="shared" si="33"/>
        <v/>
      </c>
      <c r="AF25" s="1" t="str">
        <f t="shared" si="34"/>
        <v/>
      </c>
      <c r="AG25" s="1" t="str">
        <f t="shared" si="35"/>
        <v/>
      </c>
      <c r="AH25" s="1" t="str">
        <f t="shared" si="36"/>
        <v/>
      </c>
      <c r="AI25" s="1">
        <f t="shared" si="1"/>
        <v>0</v>
      </c>
      <c r="AJ25" s="106" t="b">
        <f t="shared" si="2"/>
        <v>0</v>
      </c>
      <c r="AK25" s="106" t="b">
        <f t="shared" si="3"/>
        <v>0</v>
      </c>
      <c r="AL25" s="106" t="b">
        <f t="shared" si="4"/>
        <v>0</v>
      </c>
      <c r="AM25" s="106" t="b">
        <f t="shared" si="5"/>
        <v>0</v>
      </c>
      <c r="AN25" s="106" t="b">
        <f t="shared" si="6"/>
        <v>0</v>
      </c>
      <c r="AO25" s="106" t="b">
        <f t="shared" si="37"/>
        <v>0</v>
      </c>
      <c r="AP25" s="106" t="b">
        <f t="shared" si="7"/>
        <v>0</v>
      </c>
      <c r="AQ25" s="106" t="b">
        <f t="shared" si="8"/>
        <v>0</v>
      </c>
      <c r="AR25" s="106" t="b">
        <f t="shared" si="9"/>
        <v>0</v>
      </c>
      <c r="AS25" s="106" t="b">
        <f t="shared" si="10"/>
        <v>0</v>
      </c>
      <c r="AT25" s="148" t="str">
        <f t="shared" si="38"/>
        <v/>
      </c>
      <c r="AU25" s="198" t="e">
        <f t="shared" si="39"/>
        <v>#VALUE!</v>
      </c>
      <c r="AV25" s="204" t="str">
        <f t="shared" si="40"/>
        <v/>
      </c>
      <c r="AW25" s="107" t="str">
        <f t="shared" si="11"/>
        <v/>
      </c>
      <c r="AX25" s="108"/>
      <c r="AY25" s="109" t="str">
        <f t="shared" si="12"/>
        <v/>
      </c>
      <c r="AZ25" s="110"/>
      <c r="BA25" s="111" t="str">
        <f t="shared" si="13"/>
        <v/>
      </c>
      <c r="BB25" s="112"/>
      <c r="BC25" s="113" t="str">
        <f t="shared" si="14"/>
        <v/>
      </c>
      <c r="BD25" s="114">
        <f t="shared" si="15"/>
        <v>0</v>
      </c>
      <c r="BE25" s="118"/>
      <c r="BF25" s="113" t="str">
        <f t="shared" si="16"/>
        <v/>
      </c>
      <c r="BG25" s="116">
        <f t="shared" si="17"/>
        <v>0</v>
      </c>
    </row>
    <row r="26" spans="1:59" ht="15" customHeight="1" x14ac:dyDescent="0.2">
      <c r="A26">
        <v>10</v>
      </c>
      <c r="B26" s="186">
        <f>BEGINBLAD!B15</f>
        <v>0</v>
      </c>
      <c r="C26" s="110" t="str">
        <f>IF('RIO - E7'!C26="","",IF('RIO - E7'!C26&gt;"",'RIO - E7'!C26))</f>
        <v/>
      </c>
      <c r="D26" s="149" t="str">
        <f>IF('NW - M8'!N15="","",IF('NW - M8'!N15="A+","A",IF('NW - M8'!N15="A","A",IF('NW - M8'!N15="B","B",IF('NW - M8'!N15="C","C",IF('NW - M8'!N15="C-","C",IF('NW - M8'!N15="D","D",IF('NW - M8'!N15="E","E"))))))))</f>
        <v/>
      </c>
      <c r="E26" s="110"/>
      <c r="F26" s="192" t="str">
        <f t="shared" si="0"/>
        <v/>
      </c>
      <c r="G26" s="192" t="str">
        <f t="shared" si="0"/>
        <v/>
      </c>
      <c r="H26" s="191" t="str">
        <f t="shared" si="18"/>
        <v/>
      </c>
      <c r="I26" s="193" t="str">
        <f t="shared" si="19"/>
        <v/>
      </c>
      <c r="J26" s="208" t="str">
        <f t="shared" si="20"/>
        <v/>
      </c>
      <c r="K26" s="210" t="str">
        <f t="shared" si="21"/>
        <v/>
      </c>
      <c r="L26" s="189"/>
      <c r="M26" s="110"/>
      <c r="N26" s="117"/>
      <c r="O26" s="250">
        <f t="shared" si="22"/>
        <v>0</v>
      </c>
      <c r="P26" s="249">
        <f>IF('NW - M8'!D15=0,0,IF('NW - M8'!D15&gt;=0,'NW - M8'!D15))</f>
        <v>0</v>
      </c>
      <c r="Q26" s="206" t="str">
        <f t="shared" si="23"/>
        <v/>
      </c>
      <c r="R26" s="250">
        <f t="shared" si="24"/>
        <v>0</v>
      </c>
      <c r="S26" s="249">
        <f>IF('NW - M8'!F15=0,0,IF('NW - M8'!F15&gt;=0,'NW - M8'!F15))</f>
        <v>0</v>
      </c>
      <c r="T26" s="206" t="str">
        <f t="shared" si="25"/>
        <v/>
      </c>
      <c r="U26" s="250">
        <f t="shared" si="26"/>
        <v>0</v>
      </c>
      <c r="V26" s="249">
        <f>IF('NW - M8'!E15=0,0,IF('NW - M8'!E15&gt;=0,'NW - M8'!E15))</f>
        <v>0</v>
      </c>
      <c r="W26" s="206" t="str">
        <f t="shared" si="27"/>
        <v/>
      </c>
      <c r="X26" s="250">
        <f t="shared" si="28"/>
        <v>0</v>
      </c>
      <c r="Y26" s="249">
        <f>IF('NW - M8'!I15=0,0,IF('NW - M8'!I15&gt;=0,'NW - M8'!I15))</f>
        <v>0</v>
      </c>
      <c r="Z26" s="206" t="str">
        <f t="shared" si="29"/>
        <v/>
      </c>
      <c r="AA26" s="250">
        <f t="shared" si="30"/>
        <v>0</v>
      </c>
      <c r="AB26" s="249">
        <f>IF('NW - M8'!H15=0,0,IF('NW - M8'!H15&gt;=0,'NW - M8'!H15))</f>
        <v>0</v>
      </c>
      <c r="AC26" s="206" t="str">
        <f t="shared" si="31"/>
        <v/>
      </c>
      <c r="AD26" s="1" t="str">
        <f t="shared" si="32"/>
        <v/>
      </c>
      <c r="AE26" s="1" t="str">
        <f t="shared" si="33"/>
        <v/>
      </c>
      <c r="AF26" s="1" t="str">
        <f t="shared" si="34"/>
        <v/>
      </c>
      <c r="AG26" s="1" t="str">
        <f t="shared" si="35"/>
        <v/>
      </c>
      <c r="AH26" s="1" t="str">
        <f t="shared" si="36"/>
        <v/>
      </c>
      <c r="AI26" s="1">
        <f t="shared" si="1"/>
        <v>0</v>
      </c>
      <c r="AJ26" s="106" t="b">
        <f t="shared" si="2"/>
        <v>0</v>
      </c>
      <c r="AK26" s="106" t="b">
        <f t="shared" si="3"/>
        <v>0</v>
      </c>
      <c r="AL26" s="106" t="b">
        <f t="shared" si="4"/>
        <v>0</v>
      </c>
      <c r="AM26" s="106" t="b">
        <f t="shared" si="5"/>
        <v>0</v>
      </c>
      <c r="AN26" s="106" t="b">
        <f t="shared" si="6"/>
        <v>0</v>
      </c>
      <c r="AO26" s="106" t="b">
        <f t="shared" si="37"/>
        <v>0</v>
      </c>
      <c r="AP26" s="106" t="b">
        <f t="shared" si="7"/>
        <v>0</v>
      </c>
      <c r="AQ26" s="106" t="b">
        <f t="shared" si="8"/>
        <v>0</v>
      </c>
      <c r="AR26" s="106" t="b">
        <f t="shared" si="9"/>
        <v>0</v>
      </c>
      <c r="AS26" s="106" t="b">
        <f t="shared" si="10"/>
        <v>0</v>
      </c>
      <c r="AT26" s="148" t="str">
        <f t="shared" si="38"/>
        <v/>
      </c>
      <c r="AU26" s="198" t="e">
        <f t="shared" si="39"/>
        <v>#VALUE!</v>
      </c>
      <c r="AV26" s="204" t="str">
        <f t="shared" si="40"/>
        <v/>
      </c>
      <c r="AW26" s="107" t="str">
        <f t="shared" si="11"/>
        <v/>
      </c>
      <c r="AX26" s="108"/>
      <c r="AY26" s="109" t="str">
        <f t="shared" si="12"/>
        <v/>
      </c>
      <c r="AZ26" s="110"/>
      <c r="BA26" s="111" t="str">
        <f t="shared" si="13"/>
        <v/>
      </c>
      <c r="BB26" s="112"/>
      <c r="BC26" s="113" t="str">
        <f t="shared" si="14"/>
        <v/>
      </c>
      <c r="BD26" s="114">
        <f t="shared" si="15"/>
        <v>0</v>
      </c>
      <c r="BE26" s="118"/>
      <c r="BF26" s="113" t="str">
        <f t="shared" si="16"/>
        <v/>
      </c>
      <c r="BG26" s="116">
        <f t="shared" si="17"/>
        <v>0</v>
      </c>
    </row>
    <row r="27" spans="1:59" ht="15" customHeight="1" x14ac:dyDescent="0.2">
      <c r="A27">
        <v>11</v>
      </c>
      <c r="B27" s="186">
        <f>BEGINBLAD!B16</f>
        <v>0</v>
      </c>
      <c r="C27" s="110" t="str">
        <f>IF('RIO - E7'!C27="","",IF('RIO - E7'!C27&gt;"",'RIO - E7'!C27))</f>
        <v/>
      </c>
      <c r="D27" s="149" t="str">
        <f>IF('NW - M8'!N16="","",IF('NW - M8'!N16="A+","A",IF('NW - M8'!N16="A","A",IF('NW - M8'!N16="B","B",IF('NW - M8'!N16="C","C",IF('NW - M8'!N16="C-","C",IF('NW - M8'!N16="D","D",IF('NW - M8'!N16="E","E"))))))))</f>
        <v/>
      </c>
      <c r="E27" s="110"/>
      <c r="F27" s="192" t="str">
        <f t="shared" si="0"/>
        <v/>
      </c>
      <c r="G27" s="192" t="str">
        <f t="shared" si="0"/>
        <v/>
      </c>
      <c r="H27" s="191" t="str">
        <f t="shared" si="18"/>
        <v/>
      </c>
      <c r="I27" s="193" t="str">
        <f t="shared" si="19"/>
        <v/>
      </c>
      <c r="J27" s="208" t="str">
        <f t="shared" si="20"/>
        <v/>
      </c>
      <c r="K27" s="210" t="str">
        <f t="shared" si="21"/>
        <v/>
      </c>
      <c r="L27" s="189"/>
      <c r="M27" s="110"/>
      <c r="N27" s="117"/>
      <c r="O27" s="250">
        <f t="shared" si="22"/>
        <v>0</v>
      </c>
      <c r="P27" s="249">
        <f>IF('NW - M8'!D16=0,0,IF('NW - M8'!D16&gt;=0,'NW - M8'!D16))</f>
        <v>0</v>
      </c>
      <c r="Q27" s="206" t="str">
        <f t="shared" si="23"/>
        <v/>
      </c>
      <c r="R27" s="250">
        <f t="shared" si="24"/>
        <v>0</v>
      </c>
      <c r="S27" s="249">
        <f>IF('NW - M8'!F16=0,0,IF('NW - M8'!F16&gt;=0,'NW - M8'!F16))</f>
        <v>0</v>
      </c>
      <c r="T27" s="206" t="str">
        <f t="shared" si="25"/>
        <v/>
      </c>
      <c r="U27" s="250">
        <f t="shared" si="26"/>
        <v>0</v>
      </c>
      <c r="V27" s="249">
        <f>IF('NW - M8'!E16=0,0,IF('NW - M8'!E16&gt;=0,'NW - M8'!E16))</f>
        <v>0</v>
      </c>
      <c r="W27" s="206" t="str">
        <f t="shared" si="27"/>
        <v/>
      </c>
      <c r="X27" s="250">
        <f t="shared" si="28"/>
        <v>0</v>
      </c>
      <c r="Y27" s="249">
        <f>IF('NW - M8'!I16=0,0,IF('NW - M8'!I16&gt;=0,'NW - M8'!I16))</f>
        <v>0</v>
      </c>
      <c r="Z27" s="206" t="str">
        <f t="shared" si="29"/>
        <v/>
      </c>
      <c r="AA27" s="250">
        <f t="shared" si="30"/>
        <v>0</v>
      </c>
      <c r="AB27" s="249">
        <f>IF('NW - M8'!H16=0,0,IF('NW - M8'!H16&gt;=0,'NW - M8'!H16))</f>
        <v>0</v>
      </c>
      <c r="AC27" s="206" t="str">
        <f t="shared" si="31"/>
        <v/>
      </c>
      <c r="AD27" s="1" t="str">
        <f t="shared" si="32"/>
        <v/>
      </c>
      <c r="AE27" s="1" t="str">
        <f t="shared" si="33"/>
        <v/>
      </c>
      <c r="AF27" s="1" t="str">
        <f t="shared" si="34"/>
        <v/>
      </c>
      <c r="AG27" s="1" t="str">
        <f t="shared" si="35"/>
        <v/>
      </c>
      <c r="AH27" s="1" t="str">
        <f t="shared" si="36"/>
        <v/>
      </c>
      <c r="AI27" s="1">
        <f t="shared" si="1"/>
        <v>0</v>
      </c>
      <c r="AJ27" s="106" t="b">
        <f t="shared" si="2"/>
        <v>0</v>
      </c>
      <c r="AK27" s="106" t="b">
        <f t="shared" si="3"/>
        <v>0</v>
      </c>
      <c r="AL27" s="106" t="b">
        <f t="shared" si="4"/>
        <v>0</v>
      </c>
      <c r="AM27" s="106" t="b">
        <f t="shared" si="5"/>
        <v>0</v>
      </c>
      <c r="AN27" s="106" t="b">
        <f t="shared" si="6"/>
        <v>0</v>
      </c>
      <c r="AO27" s="106" t="b">
        <f t="shared" si="37"/>
        <v>0</v>
      </c>
      <c r="AP27" s="106" t="b">
        <f t="shared" si="7"/>
        <v>0</v>
      </c>
      <c r="AQ27" s="106" t="b">
        <f t="shared" si="8"/>
        <v>0</v>
      </c>
      <c r="AR27" s="106" t="b">
        <f t="shared" si="9"/>
        <v>0</v>
      </c>
      <c r="AS27" s="106" t="b">
        <f t="shared" si="10"/>
        <v>0</v>
      </c>
      <c r="AT27" s="148" t="str">
        <f t="shared" si="38"/>
        <v/>
      </c>
      <c r="AU27" s="198" t="e">
        <f t="shared" si="39"/>
        <v>#VALUE!</v>
      </c>
      <c r="AV27" s="204" t="str">
        <f t="shared" si="40"/>
        <v/>
      </c>
      <c r="AW27" s="107" t="str">
        <f t="shared" si="11"/>
        <v/>
      </c>
      <c r="AX27" s="108"/>
      <c r="AY27" s="109" t="str">
        <f t="shared" si="12"/>
        <v/>
      </c>
      <c r="AZ27" s="110"/>
      <c r="BA27" s="111" t="str">
        <f t="shared" si="13"/>
        <v/>
      </c>
      <c r="BB27" s="112"/>
      <c r="BC27" s="113" t="str">
        <f t="shared" si="14"/>
        <v/>
      </c>
      <c r="BD27" s="114">
        <f t="shared" si="15"/>
        <v>0</v>
      </c>
      <c r="BE27" s="118"/>
      <c r="BF27" s="113" t="str">
        <f t="shared" si="16"/>
        <v/>
      </c>
      <c r="BG27" s="116">
        <f t="shared" si="17"/>
        <v>0</v>
      </c>
    </row>
    <row r="28" spans="1:59" ht="15" customHeight="1" x14ac:dyDescent="0.2">
      <c r="A28">
        <v>12</v>
      </c>
      <c r="B28" s="186">
        <f>BEGINBLAD!B17</f>
        <v>0</v>
      </c>
      <c r="C28" s="110" t="str">
        <f>IF('RIO - E7'!C28="","",IF('RIO - E7'!C28&gt;"",'RIO - E7'!C28))</f>
        <v/>
      </c>
      <c r="D28" s="149" t="str">
        <f>IF('NW - M8'!N17="","",IF('NW - M8'!N17="A+","A",IF('NW - M8'!N17="A","A",IF('NW - M8'!N17="B","B",IF('NW - M8'!N17="C","C",IF('NW - M8'!N17="C-","C",IF('NW - M8'!N17="D","D",IF('NW - M8'!N17="E","E"))))))))</f>
        <v/>
      </c>
      <c r="E28" s="110"/>
      <c r="F28" s="192" t="str">
        <f t="shared" si="0"/>
        <v/>
      </c>
      <c r="G28" s="192" t="str">
        <f t="shared" si="0"/>
        <v/>
      </c>
      <c r="H28" s="191" t="str">
        <f t="shared" si="18"/>
        <v/>
      </c>
      <c r="I28" s="193" t="str">
        <f t="shared" si="19"/>
        <v/>
      </c>
      <c r="J28" s="208" t="str">
        <f t="shared" si="20"/>
        <v/>
      </c>
      <c r="K28" s="210" t="str">
        <f t="shared" si="21"/>
        <v/>
      </c>
      <c r="L28" s="189"/>
      <c r="M28" s="110"/>
      <c r="N28" s="117"/>
      <c r="O28" s="250">
        <f t="shared" si="22"/>
        <v>0</v>
      </c>
      <c r="P28" s="249">
        <f>IF('NW - M8'!D17=0,0,IF('NW - M8'!D17&gt;=0,'NW - M8'!D17))</f>
        <v>0</v>
      </c>
      <c r="Q28" s="206" t="str">
        <f t="shared" si="23"/>
        <v/>
      </c>
      <c r="R28" s="250">
        <f t="shared" si="24"/>
        <v>0</v>
      </c>
      <c r="S28" s="249">
        <f>IF('NW - M8'!F17=0,0,IF('NW - M8'!F17&gt;=0,'NW - M8'!F17))</f>
        <v>0</v>
      </c>
      <c r="T28" s="206" t="str">
        <f t="shared" si="25"/>
        <v/>
      </c>
      <c r="U28" s="250">
        <f t="shared" si="26"/>
        <v>0</v>
      </c>
      <c r="V28" s="249">
        <f>IF('NW - M8'!E17=0,0,IF('NW - M8'!E17&gt;=0,'NW - M8'!E17))</f>
        <v>0</v>
      </c>
      <c r="W28" s="206" t="str">
        <f t="shared" si="27"/>
        <v/>
      </c>
      <c r="X28" s="250">
        <f t="shared" si="28"/>
        <v>0</v>
      </c>
      <c r="Y28" s="249">
        <f>IF('NW - M8'!I17=0,0,IF('NW - M8'!I17&gt;=0,'NW - M8'!I17))</f>
        <v>0</v>
      </c>
      <c r="Z28" s="206" t="str">
        <f t="shared" si="29"/>
        <v/>
      </c>
      <c r="AA28" s="250">
        <f t="shared" si="30"/>
        <v>0</v>
      </c>
      <c r="AB28" s="249">
        <f>IF('NW - M8'!H17=0,0,IF('NW - M8'!H17&gt;=0,'NW - M8'!H17))</f>
        <v>0</v>
      </c>
      <c r="AC28" s="206" t="str">
        <f t="shared" si="31"/>
        <v/>
      </c>
      <c r="AD28" s="1" t="str">
        <f t="shared" si="32"/>
        <v/>
      </c>
      <c r="AE28" s="1" t="str">
        <f t="shared" si="33"/>
        <v/>
      </c>
      <c r="AF28" s="1" t="str">
        <f t="shared" si="34"/>
        <v/>
      </c>
      <c r="AG28" s="1" t="str">
        <f t="shared" si="35"/>
        <v/>
      </c>
      <c r="AH28" s="1" t="str">
        <f t="shared" si="36"/>
        <v/>
      </c>
      <c r="AI28" s="1">
        <f t="shared" si="1"/>
        <v>0</v>
      </c>
      <c r="AJ28" s="106" t="b">
        <f t="shared" si="2"/>
        <v>0</v>
      </c>
      <c r="AK28" s="106" t="b">
        <f t="shared" si="3"/>
        <v>0</v>
      </c>
      <c r="AL28" s="106" t="b">
        <f t="shared" si="4"/>
        <v>0</v>
      </c>
      <c r="AM28" s="106" t="b">
        <f t="shared" si="5"/>
        <v>0</v>
      </c>
      <c r="AN28" s="106" t="b">
        <f t="shared" si="6"/>
        <v>0</v>
      </c>
      <c r="AO28" s="106" t="b">
        <f t="shared" si="37"/>
        <v>0</v>
      </c>
      <c r="AP28" s="106" t="b">
        <f t="shared" si="7"/>
        <v>0</v>
      </c>
      <c r="AQ28" s="106" t="b">
        <f t="shared" si="8"/>
        <v>0</v>
      </c>
      <c r="AR28" s="106" t="b">
        <f t="shared" si="9"/>
        <v>0</v>
      </c>
      <c r="AS28" s="106" t="b">
        <f t="shared" si="10"/>
        <v>0</v>
      </c>
      <c r="AT28" s="148" t="str">
        <f t="shared" si="38"/>
        <v/>
      </c>
      <c r="AU28" s="198" t="e">
        <f t="shared" si="39"/>
        <v>#VALUE!</v>
      </c>
      <c r="AV28" s="204" t="str">
        <f t="shared" si="40"/>
        <v/>
      </c>
      <c r="AW28" s="107" t="str">
        <f t="shared" si="11"/>
        <v/>
      </c>
      <c r="AX28" s="108"/>
      <c r="AY28" s="109" t="str">
        <f t="shared" si="12"/>
        <v/>
      </c>
      <c r="AZ28" s="110"/>
      <c r="BA28" s="111" t="str">
        <f t="shared" si="13"/>
        <v/>
      </c>
      <c r="BB28" s="112"/>
      <c r="BC28" s="113" t="str">
        <f t="shared" si="14"/>
        <v/>
      </c>
      <c r="BD28" s="114">
        <f t="shared" si="15"/>
        <v>0</v>
      </c>
      <c r="BE28" s="118"/>
      <c r="BF28" s="113" t="str">
        <f t="shared" si="16"/>
        <v/>
      </c>
      <c r="BG28" s="116">
        <f t="shared" si="17"/>
        <v>0</v>
      </c>
    </row>
    <row r="29" spans="1:59" ht="15" customHeight="1" x14ac:dyDescent="0.2">
      <c r="A29">
        <v>13</v>
      </c>
      <c r="B29" s="186">
        <f>BEGINBLAD!B18</f>
        <v>0</v>
      </c>
      <c r="C29" s="110" t="str">
        <f>IF('RIO - E7'!C29="","",IF('RIO - E7'!C29&gt;"",'RIO - E7'!C29))</f>
        <v/>
      </c>
      <c r="D29" s="149" t="str">
        <f>IF('NW - M8'!N18="","",IF('NW - M8'!N18="A+","A",IF('NW - M8'!N18="A","A",IF('NW - M8'!N18="B","B",IF('NW - M8'!N18="C","C",IF('NW - M8'!N18="C-","C",IF('NW - M8'!N18="D","D",IF('NW - M8'!N18="E","E"))))))))</f>
        <v/>
      </c>
      <c r="E29" s="110"/>
      <c r="F29" s="192" t="str">
        <f t="shared" si="0"/>
        <v/>
      </c>
      <c r="G29" s="192" t="str">
        <f t="shared" si="0"/>
        <v/>
      </c>
      <c r="H29" s="191" t="str">
        <f t="shared" si="18"/>
        <v/>
      </c>
      <c r="I29" s="193" t="str">
        <f t="shared" si="19"/>
        <v/>
      </c>
      <c r="J29" s="208" t="str">
        <f t="shared" si="20"/>
        <v/>
      </c>
      <c r="K29" s="210" t="str">
        <f t="shared" si="21"/>
        <v/>
      </c>
      <c r="L29" s="189"/>
      <c r="M29" s="110"/>
      <c r="N29" s="117"/>
      <c r="O29" s="250">
        <f t="shared" si="22"/>
        <v>0</v>
      </c>
      <c r="P29" s="249">
        <f>IF('NW - M8'!D18=0,0,IF('NW - M8'!D18&gt;=0,'NW - M8'!D18))</f>
        <v>0</v>
      </c>
      <c r="Q29" s="206" t="str">
        <f t="shared" si="23"/>
        <v/>
      </c>
      <c r="R29" s="250">
        <f t="shared" si="24"/>
        <v>0</v>
      </c>
      <c r="S29" s="249">
        <f>IF('NW - M8'!F18=0,0,IF('NW - M8'!F18&gt;=0,'NW - M8'!F18))</f>
        <v>0</v>
      </c>
      <c r="T29" s="206" t="str">
        <f t="shared" si="25"/>
        <v/>
      </c>
      <c r="U29" s="250">
        <f t="shared" si="26"/>
        <v>0</v>
      </c>
      <c r="V29" s="249">
        <f>IF('NW - M8'!E18=0,0,IF('NW - M8'!E18&gt;=0,'NW - M8'!E18))</f>
        <v>0</v>
      </c>
      <c r="W29" s="206" t="str">
        <f t="shared" si="27"/>
        <v/>
      </c>
      <c r="X29" s="250">
        <f t="shared" si="28"/>
        <v>0</v>
      </c>
      <c r="Y29" s="249">
        <f>IF('NW - M8'!I18=0,0,IF('NW - M8'!I18&gt;=0,'NW - M8'!I18))</f>
        <v>0</v>
      </c>
      <c r="Z29" s="206" t="str">
        <f t="shared" si="29"/>
        <v/>
      </c>
      <c r="AA29" s="250">
        <f t="shared" si="30"/>
        <v>0</v>
      </c>
      <c r="AB29" s="249">
        <f>IF('NW - M8'!H18=0,0,IF('NW - M8'!H18&gt;=0,'NW - M8'!H18))</f>
        <v>0</v>
      </c>
      <c r="AC29" s="206" t="str">
        <f t="shared" si="31"/>
        <v/>
      </c>
      <c r="AD29" s="1" t="str">
        <f t="shared" si="32"/>
        <v/>
      </c>
      <c r="AE29" s="1" t="str">
        <f t="shared" si="33"/>
        <v/>
      </c>
      <c r="AF29" s="1" t="str">
        <f t="shared" si="34"/>
        <v/>
      </c>
      <c r="AG29" s="1" t="str">
        <f t="shared" si="35"/>
        <v/>
      </c>
      <c r="AH29" s="1" t="str">
        <f t="shared" si="36"/>
        <v/>
      </c>
      <c r="AI29" s="1">
        <f t="shared" si="1"/>
        <v>0</v>
      </c>
      <c r="AJ29" s="106" t="b">
        <f t="shared" si="2"/>
        <v>0</v>
      </c>
      <c r="AK29" s="106" t="b">
        <f t="shared" si="3"/>
        <v>0</v>
      </c>
      <c r="AL29" s="106" t="b">
        <f t="shared" si="4"/>
        <v>0</v>
      </c>
      <c r="AM29" s="106" t="b">
        <f t="shared" si="5"/>
        <v>0</v>
      </c>
      <c r="AN29" s="106" t="b">
        <f t="shared" si="6"/>
        <v>0</v>
      </c>
      <c r="AO29" s="106" t="b">
        <f t="shared" si="37"/>
        <v>0</v>
      </c>
      <c r="AP29" s="106" t="b">
        <f t="shared" si="7"/>
        <v>0</v>
      </c>
      <c r="AQ29" s="106" t="b">
        <f t="shared" si="8"/>
        <v>0</v>
      </c>
      <c r="AR29" s="106" t="b">
        <f t="shared" si="9"/>
        <v>0</v>
      </c>
      <c r="AS29" s="106" t="b">
        <f t="shared" si="10"/>
        <v>0</v>
      </c>
      <c r="AT29" s="148" t="str">
        <f t="shared" si="38"/>
        <v/>
      </c>
      <c r="AU29" s="198" t="e">
        <f t="shared" si="39"/>
        <v>#VALUE!</v>
      </c>
      <c r="AV29" s="204" t="str">
        <f t="shared" si="40"/>
        <v/>
      </c>
      <c r="AW29" s="107" t="str">
        <f t="shared" si="11"/>
        <v/>
      </c>
      <c r="AX29" s="108"/>
      <c r="AY29" s="109" t="str">
        <f t="shared" si="12"/>
        <v/>
      </c>
      <c r="AZ29" s="110"/>
      <c r="BA29" s="111" t="str">
        <f t="shared" si="13"/>
        <v/>
      </c>
      <c r="BB29" s="112"/>
      <c r="BC29" s="113" t="str">
        <f t="shared" si="14"/>
        <v/>
      </c>
      <c r="BD29" s="114">
        <f t="shared" si="15"/>
        <v>0</v>
      </c>
      <c r="BE29" s="118"/>
      <c r="BF29" s="113" t="str">
        <f t="shared" si="16"/>
        <v/>
      </c>
      <c r="BG29" s="116">
        <f t="shared" si="17"/>
        <v>0</v>
      </c>
    </row>
    <row r="30" spans="1:59" ht="15" customHeight="1" x14ac:dyDescent="0.2">
      <c r="A30">
        <v>14</v>
      </c>
      <c r="B30" s="186">
        <f>BEGINBLAD!B19</f>
        <v>0</v>
      </c>
      <c r="C30" s="110" t="str">
        <f>IF('RIO - E7'!C30="","",IF('RIO - E7'!C30&gt;"",'RIO - E7'!C30))</f>
        <v/>
      </c>
      <c r="D30" s="149" t="str">
        <f>IF('NW - M8'!N19="","",IF('NW - M8'!N19="A+","A",IF('NW - M8'!N19="A","A",IF('NW - M8'!N19="B","B",IF('NW - M8'!N19="C","C",IF('NW - M8'!N19="C-","C",IF('NW - M8'!N19="D","D",IF('NW - M8'!N19="E","E"))))))))</f>
        <v/>
      </c>
      <c r="E30" s="110"/>
      <c r="F30" s="192" t="str">
        <f t="shared" si="0"/>
        <v/>
      </c>
      <c r="G30" s="192" t="str">
        <f t="shared" si="0"/>
        <v/>
      </c>
      <c r="H30" s="191" t="str">
        <f t="shared" si="18"/>
        <v/>
      </c>
      <c r="I30" s="193" t="str">
        <f t="shared" si="19"/>
        <v/>
      </c>
      <c r="J30" s="208" t="str">
        <f t="shared" si="20"/>
        <v/>
      </c>
      <c r="K30" s="210" t="str">
        <f t="shared" si="21"/>
        <v/>
      </c>
      <c r="L30" s="189"/>
      <c r="M30" s="110"/>
      <c r="N30" s="117"/>
      <c r="O30" s="250">
        <f t="shared" si="22"/>
        <v>0</v>
      </c>
      <c r="P30" s="249">
        <f>IF('NW - M8'!D19=0,0,IF('NW - M8'!D19&gt;=0,'NW - M8'!D19))</f>
        <v>0</v>
      </c>
      <c r="Q30" s="206" t="str">
        <f t="shared" si="23"/>
        <v/>
      </c>
      <c r="R30" s="250">
        <f t="shared" si="24"/>
        <v>0</v>
      </c>
      <c r="S30" s="249">
        <f>IF('NW - M8'!F19=0,0,IF('NW - M8'!F19&gt;=0,'NW - M8'!F19))</f>
        <v>0</v>
      </c>
      <c r="T30" s="206" t="str">
        <f t="shared" si="25"/>
        <v/>
      </c>
      <c r="U30" s="250">
        <f t="shared" si="26"/>
        <v>0</v>
      </c>
      <c r="V30" s="249">
        <f>IF('NW - M8'!E19=0,0,IF('NW - M8'!E19&gt;=0,'NW - M8'!E19))</f>
        <v>0</v>
      </c>
      <c r="W30" s="206" t="str">
        <f t="shared" si="27"/>
        <v/>
      </c>
      <c r="X30" s="250">
        <f t="shared" si="28"/>
        <v>0</v>
      </c>
      <c r="Y30" s="249">
        <f>IF('NW - M8'!I19=0,0,IF('NW - M8'!I19&gt;=0,'NW - M8'!I19))</f>
        <v>0</v>
      </c>
      <c r="Z30" s="206" t="str">
        <f t="shared" si="29"/>
        <v/>
      </c>
      <c r="AA30" s="250">
        <f t="shared" si="30"/>
        <v>0</v>
      </c>
      <c r="AB30" s="249">
        <f>IF('NW - M8'!H19=0,0,IF('NW - M8'!H19&gt;=0,'NW - M8'!H19))</f>
        <v>0</v>
      </c>
      <c r="AC30" s="206" t="str">
        <f t="shared" si="31"/>
        <v/>
      </c>
      <c r="AD30" s="1" t="str">
        <f t="shared" si="32"/>
        <v/>
      </c>
      <c r="AE30" s="1" t="str">
        <f t="shared" si="33"/>
        <v/>
      </c>
      <c r="AF30" s="1" t="str">
        <f t="shared" si="34"/>
        <v/>
      </c>
      <c r="AG30" s="1" t="str">
        <f t="shared" si="35"/>
        <v/>
      </c>
      <c r="AH30" s="1" t="str">
        <f t="shared" si="36"/>
        <v/>
      </c>
      <c r="AI30" s="1">
        <f t="shared" si="1"/>
        <v>0</v>
      </c>
      <c r="AJ30" s="106" t="b">
        <f t="shared" si="2"/>
        <v>0</v>
      </c>
      <c r="AK30" s="106" t="b">
        <f t="shared" si="3"/>
        <v>0</v>
      </c>
      <c r="AL30" s="106" t="b">
        <f t="shared" si="4"/>
        <v>0</v>
      </c>
      <c r="AM30" s="106" t="b">
        <f t="shared" si="5"/>
        <v>0</v>
      </c>
      <c r="AN30" s="106" t="b">
        <f t="shared" si="6"/>
        <v>0</v>
      </c>
      <c r="AO30" s="106" t="b">
        <f t="shared" si="37"/>
        <v>0</v>
      </c>
      <c r="AP30" s="106" t="b">
        <f t="shared" si="7"/>
        <v>0</v>
      </c>
      <c r="AQ30" s="106" t="b">
        <f t="shared" si="8"/>
        <v>0</v>
      </c>
      <c r="AR30" s="106" t="b">
        <f t="shared" si="9"/>
        <v>0</v>
      </c>
      <c r="AS30" s="106" t="b">
        <f t="shared" si="10"/>
        <v>0</v>
      </c>
      <c r="AT30" s="148" t="str">
        <f t="shared" si="38"/>
        <v/>
      </c>
      <c r="AU30" s="198" t="e">
        <f t="shared" si="39"/>
        <v>#VALUE!</v>
      </c>
      <c r="AV30" s="204" t="str">
        <f t="shared" si="40"/>
        <v/>
      </c>
      <c r="AW30" s="107" t="str">
        <f t="shared" si="11"/>
        <v/>
      </c>
      <c r="AX30" s="108"/>
      <c r="AY30" s="109" t="str">
        <f t="shared" si="12"/>
        <v/>
      </c>
      <c r="AZ30" s="110"/>
      <c r="BA30" s="111" t="str">
        <f t="shared" si="13"/>
        <v/>
      </c>
      <c r="BB30" s="112"/>
      <c r="BC30" s="113" t="str">
        <f t="shared" si="14"/>
        <v/>
      </c>
      <c r="BD30" s="114">
        <f t="shared" si="15"/>
        <v>0</v>
      </c>
      <c r="BE30" s="118"/>
      <c r="BF30" s="113" t="str">
        <f t="shared" si="16"/>
        <v/>
      </c>
      <c r="BG30" s="116">
        <f t="shared" si="17"/>
        <v>0</v>
      </c>
    </row>
    <row r="31" spans="1:59" ht="15" customHeight="1" x14ac:dyDescent="0.2">
      <c r="A31">
        <v>15</v>
      </c>
      <c r="B31" s="186">
        <f>BEGINBLAD!B20</f>
        <v>0</v>
      </c>
      <c r="C31" s="110" t="str">
        <f>IF('RIO - E7'!C31="","",IF('RIO - E7'!C31&gt;"",'RIO - E7'!C31))</f>
        <v/>
      </c>
      <c r="D31" s="149" t="str">
        <f>IF('NW - M8'!N20="","",IF('NW - M8'!N20="A+","A",IF('NW - M8'!N20="A","A",IF('NW - M8'!N20="B","B",IF('NW - M8'!N20="C","C",IF('NW - M8'!N20="C-","C",IF('NW - M8'!N20="D","D",IF('NW - M8'!N20="E","E"))))))))</f>
        <v/>
      </c>
      <c r="E31" s="110"/>
      <c r="F31" s="192" t="str">
        <f t="shared" si="0"/>
        <v/>
      </c>
      <c r="G31" s="192" t="str">
        <f t="shared" si="0"/>
        <v/>
      </c>
      <c r="H31" s="191" t="str">
        <f t="shared" si="18"/>
        <v/>
      </c>
      <c r="I31" s="193" t="str">
        <f t="shared" si="19"/>
        <v/>
      </c>
      <c r="J31" s="208" t="str">
        <f t="shared" si="20"/>
        <v/>
      </c>
      <c r="K31" s="210" t="str">
        <f t="shared" si="21"/>
        <v/>
      </c>
      <c r="L31" s="189"/>
      <c r="M31" s="110"/>
      <c r="N31" s="117"/>
      <c r="O31" s="250">
        <f t="shared" si="22"/>
        <v>0</v>
      </c>
      <c r="P31" s="249">
        <f>IF('NW - M8'!D20=0,0,IF('NW - M8'!D20&gt;=0,'NW - M8'!D20))</f>
        <v>0</v>
      </c>
      <c r="Q31" s="206" t="str">
        <f t="shared" si="23"/>
        <v/>
      </c>
      <c r="R31" s="250">
        <f t="shared" si="24"/>
        <v>0</v>
      </c>
      <c r="S31" s="249">
        <f>IF('NW - M8'!F20=0,0,IF('NW - M8'!F20&gt;=0,'NW - M8'!F20))</f>
        <v>0</v>
      </c>
      <c r="T31" s="206" t="str">
        <f t="shared" si="25"/>
        <v/>
      </c>
      <c r="U31" s="250">
        <f t="shared" si="26"/>
        <v>0</v>
      </c>
      <c r="V31" s="249">
        <f>IF('NW - M8'!E20=0,0,IF('NW - M8'!E20&gt;=0,'NW - M8'!E20))</f>
        <v>0</v>
      </c>
      <c r="W31" s="206" t="str">
        <f t="shared" si="27"/>
        <v/>
      </c>
      <c r="X31" s="250">
        <f t="shared" si="28"/>
        <v>0</v>
      </c>
      <c r="Y31" s="249">
        <f>IF('NW - M8'!I20=0,0,IF('NW - M8'!I20&gt;=0,'NW - M8'!I20))</f>
        <v>0</v>
      </c>
      <c r="Z31" s="206" t="str">
        <f t="shared" si="29"/>
        <v/>
      </c>
      <c r="AA31" s="250">
        <f t="shared" si="30"/>
        <v>0</v>
      </c>
      <c r="AB31" s="249">
        <f>IF('NW - M8'!H20=0,0,IF('NW - M8'!H20&gt;=0,'NW - M8'!H20))</f>
        <v>0</v>
      </c>
      <c r="AC31" s="206" t="str">
        <f t="shared" si="31"/>
        <v/>
      </c>
      <c r="AD31" s="1" t="str">
        <f t="shared" si="32"/>
        <v/>
      </c>
      <c r="AE31" s="1" t="str">
        <f t="shared" si="33"/>
        <v/>
      </c>
      <c r="AF31" s="1" t="str">
        <f t="shared" si="34"/>
        <v/>
      </c>
      <c r="AG31" s="1" t="str">
        <f t="shared" si="35"/>
        <v/>
      </c>
      <c r="AH31" s="1" t="str">
        <f t="shared" si="36"/>
        <v/>
      </c>
      <c r="AI31" s="1">
        <f t="shared" si="1"/>
        <v>0</v>
      </c>
      <c r="AJ31" s="106" t="b">
        <f t="shared" si="2"/>
        <v>0</v>
      </c>
      <c r="AK31" s="106" t="b">
        <f t="shared" si="3"/>
        <v>0</v>
      </c>
      <c r="AL31" s="106" t="b">
        <f t="shared" si="4"/>
        <v>0</v>
      </c>
      <c r="AM31" s="106" t="b">
        <f t="shared" si="5"/>
        <v>0</v>
      </c>
      <c r="AN31" s="106" t="b">
        <f t="shared" si="6"/>
        <v>0</v>
      </c>
      <c r="AO31" s="106" t="b">
        <f t="shared" si="37"/>
        <v>0</v>
      </c>
      <c r="AP31" s="106" t="b">
        <f t="shared" si="7"/>
        <v>0</v>
      </c>
      <c r="AQ31" s="106" t="b">
        <f t="shared" si="8"/>
        <v>0</v>
      </c>
      <c r="AR31" s="106" t="b">
        <f t="shared" si="9"/>
        <v>0</v>
      </c>
      <c r="AS31" s="106" t="b">
        <f t="shared" si="10"/>
        <v>0</v>
      </c>
      <c r="AT31" s="148" t="str">
        <f t="shared" si="38"/>
        <v/>
      </c>
      <c r="AU31" s="198" t="e">
        <f t="shared" si="39"/>
        <v>#VALUE!</v>
      </c>
      <c r="AV31" s="204" t="str">
        <f t="shared" si="40"/>
        <v/>
      </c>
      <c r="AW31" s="107" t="str">
        <f t="shared" si="11"/>
        <v/>
      </c>
      <c r="AX31" s="108"/>
      <c r="AY31" s="109" t="str">
        <f t="shared" si="12"/>
        <v/>
      </c>
      <c r="AZ31" s="110"/>
      <c r="BA31" s="111" t="str">
        <f t="shared" si="13"/>
        <v/>
      </c>
      <c r="BB31" s="112"/>
      <c r="BC31" s="113" t="str">
        <f t="shared" si="14"/>
        <v/>
      </c>
      <c r="BD31" s="114">
        <f t="shared" si="15"/>
        <v>0</v>
      </c>
      <c r="BE31" s="118"/>
      <c r="BF31" s="113" t="str">
        <f t="shared" si="16"/>
        <v/>
      </c>
      <c r="BG31" s="116">
        <f t="shared" si="17"/>
        <v>0</v>
      </c>
    </row>
    <row r="32" spans="1:59" ht="15" customHeight="1" x14ac:dyDescent="0.2">
      <c r="A32">
        <v>16</v>
      </c>
      <c r="B32" s="187">
        <f>BEGINBLAD!B21</f>
        <v>0</v>
      </c>
      <c r="C32" s="110" t="str">
        <f>IF('RIO - E7'!C32="","",IF('RIO - E7'!C32&gt;"",'RIO - E7'!C32))</f>
        <v/>
      </c>
      <c r="D32" s="149" t="str">
        <f>IF('NW - M8'!N21="","",IF('NW - M8'!N21="A+","A",IF('NW - M8'!N21="A","A",IF('NW - M8'!N21="B","B",IF('NW - M8'!N21="C","C",IF('NW - M8'!N21="C-","C",IF('NW - M8'!N21="D","D",IF('NW - M8'!N21="E","E"))))))))</f>
        <v/>
      </c>
      <c r="E32" s="110"/>
      <c r="F32" s="192" t="str">
        <f t="shared" si="0"/>
        <v/>
      </c>
      <c r="G32" s="192" t="str">
        <f t="shared" si="0"/>
        <v/>
      </c>
      <c r="H32" s="191" t="str">
        <f t="shared" si="18"/>
        <v/>
      </c>
      <c r="I32" s="193" t="str">
        <f t="shared" si="19"/>
        <v/>
      </c>
      <c r="J32" s="208" t="str">
        <f t="shared" si="20"/>
        <v/>
      </c>
      <c r="K32" s="210" t="str">
        <f t="shared" si="21"/>
        <v/>
      </c>
      <c r="L32" s="189"/>
      <c r="M32" s="110"/>
      <c r="N32" s="117"/>
      <c r="O32" s="250">
        <f t="shared" si="22"/>
        <v>0</v>
      </c>
      <c r="P32" s="249">
        <f>IF('NW - M8'!D21=0,0,IF('NW - M8'!D21&gt;=0,'NW - M8'!D21))</f>
        <v>0</v>
      </c>
      <c r="Q32" s="206" t="str">
        <f t="shared" si="23"/>
        <v/>
      </c>
      <c r="R32" s="250">
        <f t="shared" si="24"/>
        <v>0</v>
      </c>
      <c r="S32" s="249">
        <f>IF('NW - M8'!F21=0,0,IF('NW - M8'!F21&gt;=0,'NW - M8'!F21))</f>
        <v>0</v>
      </c>
      <c r="T32" s="206" t="str">
        <f t="shared" si="25"/>
        <v/>
      </c>
      <c r="U32" s="250">
        <f t="shared" si="26"/>
        <v>0</v>
      </c>
      <c r="V32" s="249">
        <f>IF('NW - M8'!E21=0,0,IF('NW - M8'!E21&gt;=0,'NW - M8'!E21))</f>
        <v>0</v>
      </c>
      <c r="W32" s="206" t="str">
        <f t="shared" si="27"/>
        <v/>
      </c>
      <c r="X32" s="250">
        <f t="shared" si="28"/>
        <v>0</v>
      </c>
      <c r="Y32" s="249">
        <f>IF('NW - M8'!I21=0,0,IF('NW - M8'!I21&gt;=0,'NW - M8'!I21))</f>
        <v>0</v>
      </c>
      <c r="Z32" s="206" t="str">
        <f t="shared" si="29"/>
        <v/>
      </c>
      <c r="AA32" s="250">
        <f t="shared" si="30"/>
        <v>0</v>
      </c>
      <c r="AB32" s="249">
        <f>IF('NW - M8'!H21=0,0,IF('NW - M8'!H21&gt;=0,'NW - M8'!H21))</f>
        <v>0</v>
      </c>
      <c r="AC32" s="206" t="str">
        <f t="shared" si="31"/>
        <v/>
      </c>
      <c r="AD32" s="1" t="str">
        <f t="shared" si="32"/>
        <v/>
      </c>
      <c r="AE32" s="1" t="str">
        <f t="shared" si="33"/>
        <v/>
      </c>
      <c r="AF32" s="1" t="str">
        <f t="shared" si="34"/>
        <v/>
      </c>
      <c r="AG32" s="1" t="str">
        <f t="shared" si="35"/>
        <v/>
      </c>
      <c r="AH32" s="1" t="str">
        <f t="shared" si="36"/>
        <v/>
      </c>
      <c r="AI32" s="1">
        <f t="shared" si="1"/>
        <v>0</v>
      </c>
      <c r="AJ32" s="106" t="b">
        <f t="shared" si="2"/>
        <v>0</v>
      </c>
      <c r="AK32" s="106" t="b">
        <f t="shared" si="3"/>
        <v>0</v>
      </c>
      <c r="AL32" s="106" t="b">
        <f t="shared" si="4"/>
        <v>0</v>
      </c>
      <c r="AM32" s="106" t="b">
        <f t="shared" si="5"/>
        <v>0</v>
      </c>
      <c r="AN32" s="106" t="b">
        <f t="shared" si="6"/>
        <v>0</v>
      </c>
      <c r="AO32" s="106" t="b">
        <f t="shared" si="37"/>
        <v>0</v>
      </c>
      <c r="AP32" s="106" t="b">
        <f t="shared" si="7"/>
        <v>0</v>
      </c>
      <c r="AQ32" s="106" t="b">
        <f t="shared" si="8"/>
        <v>0</v>
      </c>
      <c r="AR32" s="106" t="b">
        <f t="shared" si="9"/>
        <v>0</v>
      </c>
      <c r="AS32" s="106" t="b">
        <f t="shared" si="10"/>
        <v>0</v>
      </c>
      <c r="AT32" s="148" t="str">
        <f t="shared" si="38"/>
        <v/>
      </c>
      <c r="AU32" s="198" t="e">
        <f t="shared" si="39"/>
        <v>#VALUE!</v>
      </c>
      <c r="AV32" s="204" t="str">
        <f t="shared" si="40"/>
        <v/>
      </c>
      <c r="AW32" s="107" t="str">
        <f t="shared" si="11"/>
        <v/>
      </c>
      <c r="AX32" s="108"/>
      <c r="AY32" s="109" t="str">
        <f t="shared" si="12"/>
        <v/>
      </c>
      <c r="AZ32" s="110"/>
      <c r="BA32" s="111" t="str">
        <f t="shared" si="13"/>
        <v/>
      </c>
      <c r="BB32" s="112"/>
      <c r="BC32" s="113" t="str">
        <f t="shared" si="14"/>
        <v/>
      </c>
      <c r="BD32" s="114">
        <f t="shared" si="15"/>
        <v>0</v>
      </c>
      <c r="BE32" s="118"/>
      <c r="BF32" s="113" t="str">
        <f t="shared" si="16"/>
        <v/>
      </c>
      <c r="BG32" s="116">
        <f t="shared" si="17"/>
        <v>0</v>
      </c>
    </row>
    <row r="33" spans="1:59" ht="15" customHeight="1" x14ac:dyDescent="0.2">
      <c r="A33">
        <v>17</v>
      </c>
      <c r="B33" s="187">
        <f>BEGINBLAD!B22</f>
        <v>0</v>
      </c>
      <c r="C33" s="110" t="str">
        <f>IF('RIO - E7'!C33="","",IF('RIO - E7'!C33&gt;"",'RIO - E7'!C33))</f>
        <v/>
      </c>
      <c r="D33" s="149" t="str">
        <f>IF('NW - M8'!N22="","",IF('NW - M8'!N22="A+","A",IF('NW - M8'!N22="A","A",IF('NW - M8'!N22="B","B",IF('NW - M8'!N22="C","C",IF('NW - M8'!N22="C-","C",IF('NW - M8'!N22="D","D",IF('NW - M8'!N22="E","E"))))))))</f>
        <v/>
      </c>
      <c r="E33" s="110"/>
      <c r="F33" s="192" t="str">
        <f t="shared" si="0"/>
        <v/>
      </c>
      <c r="G33" s="192" t="str">
        <f t="shared" si="0"/>
        <v/>
      </c>
      <c r="H33" s="191" t="str">
        <f t="shared" si="18"/>
        <v/>
      </c>
      <c r="I33" s="193" t="str">
        <f t="shared" si="19"/>
        <v/>
      </c>
      <c r="J33" s="208" t="str">
        <f t="shared" si="20"/>
        <v/>
      </c>
      <c r="K33" s="210" t="str">
        <f t="shared" si="21"/>
        <v/>
      </c>
      <c r="L33" s="189"/>
      <c r="M33" s="110"/>
      <c r="N33" s="117"/>
      <c r="O33" s="250">
        <f t="shared" si="22"/>
        <v>0</v>
      </c>
      <c r="P33" s="249">
        <f>IF('NW - M8'!D22=0,0,IF('NW - M8'!D22&gt;=0,'NW - M8'!D22))</f>
        <v>0</v>
      </c>
      <c r="Q33" s="206" t="str">
        <f t="shared" si="23"/>
        <v/>
      </c>
      <c r="R33" s="250">
        <f t="shared" si="24"/>
        <v>0</v>
      </c>
      <c r="S33" s="249">
        <f>IF('NW - M8'!F22=0,0,IF('NW - M8'!F22&gt;=0,'NW - M8'!F22))</f>
        <v>0</v>
      </c>
      <c r="T33" s="206" t="str">
        <f t="shared" si="25"/>
        <v/>
      </c>
      <c r="U33" s="250">
        <f t="shared" si="26"/>
        <v>0</v>
      </c>
      <c r="V33" s="249">
        <f>IF('NW - M8'!E22=0,0,IF('NW - M8'!E22&gt;=0,'NW - M8'!E22))</f>
        <v>0</v>
      </c>
      <c r="W33" s="206" t="str">
        <f t="shared" si="27"/>
        <v/>
      </c>
      <c r="X33" s="250">
        <f t="shared" si="28"/>
        <v>0</v>
      </c>
      <c r="Y33" s="249">
        <f>IF('NW - M8'!I22=0,0,IF('NW - M8'!I22&gt;=0,'NW - M8'!I22))</f>
        <v>0</v>
      </c>
      <c r="Z33" s="206" t="str">
        <f t="shared" si="29"/>
        <v/>
      </c>
      <c r="AA33" s="250">
        <f t="shared" si="30"/>
        <v>0</v>
      </c>
      <c r="AB33" s="249">
        <f>IF('NW - M8'!H22=0,0,IF('NW - M8'!H22&gt;=0,'NW - M8'!H22))</f>
        <v>0</v>
      </c>
      <c r="AC33" s="206" t="str">
        <f t="shared" si="31"/>
        <v/>
      </c>
      <c r="AD33" s="1" t="str">
        <f t="shared" si="32"/>
        <v/>
      </c>
      <c r="AE33" s="1" t="str">
        <f t="shared" si="33"/>
        <v/>
      </c>
      <c r="AF33" s="1" t="str">
        <f t="shared" si="34"/>
        <v/>
      </c>
      <c r="AG33" s="1" t="str">
        <f t="shared" si="35"/>
        <v/>
      </c>
      <c r="AH33" s="1" t="str">
        <f t="shared" si="36"/>
        <v/>
      </c>
      <c r="AI33" s="1">
        <f t="shared" si="1"/>
        <v>0</v>
      </c>
      <c r="AJ33" s="106" t="b">
        <f t="shared" si="2"/>
        <v>0</v>
      </c>
      <c r="AK33" s="106" t="b">
        <f t="shared" si="3"/>
        <v>0</v>
      </c>
      <c r="AL33" s="106" t="b">
        <f t="shared" si="4"/>
        <v>0</v>
      </c>
      <c r="AM33" s="106" t="b">
        <f t="shared" si="5"/>
        <v>0</v>
      </c>
      <c r="AN33" s="106" t="b">
        <f t="shared" si="6"/>
        <v>0</v>
      </c>
      <c r="AO33" s="106" t="b">
        <f t="shared" si="37"/>
        <v>0</v>
      </c>
      <c r="AP33" s="106" t="b">
        <f t="shared" si="7"/>
        <v>0</v>
      </c>
      <c r="AQ33" s="106" t="b">
        <f t="shared" si="8"/>
        <v>0</v>
      </c>
      <c r="AR33" s="106" t="b">
        <f t="shared" si="9"/>
        <v>0</v>
      </c>
      <c r="AS33" s="106" t="b">
        <f t="shared" si="10"/>
        <v>0</v>
      </c>
      <c r="AT33" s="148" t="str">
        <f t="shared" si="38"/>
        <v/>
      </c>
      <c r="AU33" s="198" t="e">
        <f t="shared" si="39"/>
        <v>#VALUE!</v>
      </c>
      <c r="AV33" s="204" t="str">
        <f t="shared" si="40"/>
        <v/>
      </c>
      <c r="AW33" s="107" t="str">
        <f t="shared" si="11"/>
        <v/>
      </c>
      <c r="AX33" s="108"/>
      <c r="AY33" s="109" t="str">
        <f t="shared" si="12"/>
        <v/>
      </c>
      <c r="AZ33" s="110"/>
      <c r="BA33" s="111" t="str">
        <f t="shared" si="13"/>
        <v/>
      </c>
      <c r="BB33" s="112"/>
      <c r="BC33" s="113" t="str">
        <f t="shared" si="14"/>
        <v/>
      </c>
      <c r="BD33" s="114">
        <f t="shared" si="15"/>
        <v>0</v>
      </c>
      <c r="BE33" s="118"/>
      <c r="BF33" s="113" t="str">
        <f t="shared" si="16"/>
        <v/>
      </c>
      <c r="BG33" s="116">
        <f t="shared" si="17"/>
        <v>0</v>
      </c>
    </row>
    <row r="34" spans="1:59" ht="15" customHeight="1" x14ac:dyDescent="0.2">
      <c r="A34">
        <v>18</v>
      </c>
      <c r="B34" s="187">
        <f>BEGINBLAD!B23</f>
        <v>0</v>
      </c>
      <c r="C34" s="110" t="str">
        <f>IF('RIO - E7'!C34="","",IF('RIO - E7'!C34&gt;"",'RIO - E7'!C34))</f>
        <v/>
      </c>
      <c r="D34" s="149" t="str">
        <f>IF('NW - M8'!N23="","",IF('NW - M8'!N23="A+","A",IF('NW - M8'!N23="A","A",IF('NW - M8'!N23="B","B",IF('NW - M8'!N23="C","C",IF('NW - M8'!N23="C-","C",IF('NW - M8'!N23="D","D",IF('NW - M8'!N23="E","E"))))))))</f>
        <v/>
      </c>
      <c r="E34" s="110"/>
      <c r="F34" s="192" t="str">
        <f t="shared" si="0"/>
        <v/>
      </c>
      <c r="G34" s="192" t="str">
        <f t="shared" si="0"/>
        <v/>
      </c>
      <c r="H34" s="191" t="str">
        <f t="shared" si="18"/>
        <v/>
      </c>
      <c r="I34" s="193" t="str">
        <f t="shared" si="19"/>
        <v/>
      </c>
      <c r="J34" s="208" t="str">
        <f t="shared" si="20"/>
        <v/>
      </c>
      <c r="K34" s="210" t="str">
        <f t="shared" si="21"/>
        <v/>
      </c>
      <c r="L34" s="189"/>
      <c r="M34" s="110"/>
      <c r="N34" s="117"/>
      <c r="O34" s="250">
        <f t="shared" si="22"/>
        <v>0</v>
      </c>
      <c r="P34" s="249">
        <f>IF('NW - M8'!D23=0,0,IF('NW - M8'!D23&gt;=0,'NW - M8'!D23))</f>
        <v>0</v>
      </c>
      <c r="Q34" s="206" t="str">
        <f t="shared" si="23"/>
        <v/>
      </c>
      <c r="R34" s="250">
        <f t="shared" si="24"/>
        <v>0</v>
      </c>
      <c r="S34" s="249">
        <f>IF('NW - M8'!F23=0,0,IF('NW - M8'!F23&gt;=0,'NW - M8'!F23))</f>
        <v>0</v>
      </c>
      <c r="T34" s="206" t="str">
        <f t="shared" si="25"/>
        <v/>
      </c>
      <c r="U34" s="250">
        <f t="shared" si="26"/>
        <v>0</v>
      </c>
      <c r="V34" s="249">
        <f>IF('NW - M8'!E23=0,0,IF('NW - M8'!E23&gt;=0,'NW - M8'!E23))</f>
        <v>0</v>
      </c>
      <c r="W34" s="206" t="str">
        <f t="shared" si="27"/>
        <v/>
      </c>
      <c r="X34" s="250">
        <f t="shared" si="28"/>
        <v>0</v>
      </c>
      <c r="Y34" s="249">
        <f>IF('NW - M8'!I23=0,0,IF('NW - M8'!I23&gt;=0,'NW - M8'!I23))</f>
        <v>0</v>
      </c>
      <c r="Z34" s="206" t="str">
        <f t="shared" si="29"/>
        <v/>
      </c>
      <c r="AA34" s="250">
        <f t="shared" si="30"/>
        <v>0</v>
      </c>
      <c r="AB34" s="249">
        <f>IF('NW - M8'!H23=0,0,IF('NW - M8'!H23&gt;=0,'NW - M8'!H23))</f>
        <v>0</v>
      </c>
      <c r="AC34" s="206" t="str">
        <f t="shared" si="31"/>
        <v/>
      </c>
      <c r="AD34" s="1" t="str">
        <f t="shared" si="32"/>
        <v/>
      </c>
      <c r="AE34" s="1" t="str">
        <f t="shared" si="33"/>
        <v/>
      </c>
      <c r="AF34" s="1" t="str">
        <f t="shared" si="34"/>
        <v/>
      </c>
      <c r="AG34" s="1" t="str">
        <f t="shared" si="35"/>
        <v/>
      </c>
      <c r="AH34" s="1" t="str">
        <f t="shared" si="36"/>
        <v/>
      </c>
      <c r="AI34" s="1">
        <f t="shared" si="1"/>
        <v>0</v>
      </c>
      <c r="AJ34" s="106" t="b">
        <f t="shared" si="2"/>
        <v>0</v>
      </c>
      <c r="AK34" s="106" t="b">
        <f t="shared" si="3"/>
        <v>0</v>
      </c>
      <c r="AL34" s="106" t="b">
        <f t="shared" si="4"/>
        <v>0</v>
      </c>
      <c r="AM34" s="106" t="b">
        <f t="shared" si="5"/>
        <v>0</v>
      </c>
      <c r="AN34" s="106" t="b">
        <f t="shared" si="6"/>
        <v>0</v>
      </c>
      <c r="AO34" s="106" t="b">
        <f t="shared" si="37"/>
        <v>0</v>
      </c>
      <c r="AP34" s="106" t="b">
        <f t="shared" si="7"/>
        <v>0</v>
      </c>
      <c r="AQ34" s="106" t="b">
        <f t="shared" si="8"/>
        <v>0</v>
      </c>
      <c r="AR34" s="106" t="b">
        <f t="shared" si="9"/>
        <v>0</v>
      </c>
      <c r="AS34" s="106" t="b">
        <f t="shared" si="10"/>
        <v>0</v>
      </c>
      <c r="AT34" s="148" t="str">
        <f t="shared" si="38"/>
        <v/>
      </c>
      <c r="AU34" s="198" t="e">
        <f t="shared" si="39"/>
        <v>#VALUE!</v>
      </c>
      <c r="AV34" s="204" t="str">
        <f t="shared" si="40"/>
        <v/>
      </c>
      <c r="AW34" s="107" t="str">
        <f t="shared" si="11"/>
        <v/>
      </c>
      <c r="AX34" s="108"/>
      <c r="AY34" s="109" t="str">
        <f t="shared" si="12"/>
        <v/>
      </c>
      <c r="AZ34" s="110"/>
      <c r="BA34" s="111" t="str">
        <f t="shared" si="13"/>
        <v/>
      </c>
      <c r="BB34" s="112"/>
      <c r="BC34" s="113" t="str">
        <f t="shared" si="14"/>
        <v/>
      </c>
      <c r="BD34" s="114">
        <f t="shared" si="15"/>
        <v>0</v>
      </c>
      <c r="BE34" s="118"/>
      <c r="BF34" s="113" t="str">
        <f t="shared" si="16"/>
        <v/>
      </c>
      <c r="BG34" s="116">
        <f t="shared" si="17"/>
        <v>0</v>
      </c>
    </row>
    <row r="35" spans="1:59" ht="15" customHeight="1" x14ac:dyDescent="0.2">
      <c r="A35">
        <v>19</v>
      </c>
      <c r="B35" s="187">
        <f>BEGINBLAD!B24</f>
        <v>0</v>
      </c>
      <c r="C35" s="110" t="str">
        <f>IF('RIO - E7'!C35="","",IF('RIO - E7'!C35&gt;"",'RIO - E7'!C35))</f>
        <v/>
      </c>
      <c r="D35" s="149" t="str">
        <f>IF('NW - M8'!N24="","",IF('NW - M8'!N24="A+","A",IF('NW - M8'!N24="A","A",IF('NW - M8'!N24="B","B",IF('NW - M8'!N24="C","C",IF('NW - M8'!N24="C-","C",IF('NW - M8'!N24="D","D",IF('NW - M8'!N24="E","E"))))))))</f>
        <v/>
      </c>
      <c r="E35" s="110"/>
      <c r="F35" s="192" t="str">
        <f t="shared" si="0"/>
        <v/>
      </c>
      <c r="G35" s="192" t="str">
        <f t="shared" si="0"/>
        <v/>
      </c>
      <c r="H35" s="191" t="str">
        <f t="shared" si="18"/>
        <v/>
      </c>
      <c r="I35" s="193" t="str">
        <f t="shared" si="19"/>
        <v/>
      </c>
      <c r="J35" s="208" t="str">
        <f t="shared" si="20"/>
        <v/>
      </c>
      <c r="K35" s="210" t="str">
        <f t="shared" si="21"/>
        <v/>
      </c>
      <c r="L35" s="189"/>
      <c r="M35" s="110"/>
      <c r="N35" s="117"/>
      <c r="O35" s="250">
        <f t="shared" si="22"/>
        <v>0</v>
      </c>
      <c r="P35" s="249">
        <f>IF('NW - M8'!D24=0,0,IF('NW - M8'!D24&gt;=0,'NW - M8'!D24))</f>
        <v>0</v>
      </c>
      <c r="Q35" s="206" t="str">
        <f t="shared" si="23"/>
        <v/>
      </c>
      <c r="R35" s="250">
        <f t="shared" si="24"/>
        <v>0</v>
      </c>
      <c r="S35" s="249">
        <f>IF('NW - M8'!F24=0,0,IF('NW - M8'!F24&gt;=0,'NW - M8'!F24))</f>
        <v>0</v>
      </c>
      <c r="T35" s="206" t="str">
        <f t="shared" si="25"/>
        <v/>
      </c>
      <c r="U35" s="250">
        <f t="shared" si="26"/>
        <v>0</v>
      </c>
      <c r="V35" s="249">
        <f>IF('NW - M8'!E24=0,0,IF('NW - M8'!E24&gt;=0,'NW - M8'!E24))</f>
        <v>0</v>
      </c>
      <c r="W35" s="206" t="str">
        <f t="shared" si="27"/>
        <v/>
      </c>
      <c r="X35" s="250">
        <f t="shared" si="28"/>
        <v>0</v>
      </c>
      <c r="Y35" s="249">
        <f>IF('NW - M8'!I24=0,0,IF('NW - M8'!I24&gt;=0,'NW - M8'!I24))</f>
        <v>0</v>
      </c>
      <c r="Z35" s="206" t="str">
        <f t="shared" si="29"/>
        <v/>
      </c>
      <c r="AA35" s="250">
        <f t="shared" si="30"/>
        <v>0</v>
      </c>
      <c r="AB35" s="249">
        <f>IF('NW - M8'!H24=0,0,IF('NW - M8'!H24&gt;=0,'NW - M8'!H24))</f>
        <v>0</v>
      </c>
      <c r="AC35" s="206" t="str">
        <f t="shared" si="31"/>
        <v/>
      </c>
      <c r="AD35" s="1" t="str">
        <f t="shared" si="32"/>
        <v/>
      </c>
      <c r="AE35" s="1" t="str">
        <f t="shared" si="33"/>
        <v/>
      </c>
      <c r="AF35" s="1" t="str">
        <f t="shared" si="34"/>
        <v/>
      </c>
      <c r="AG35" s="1" t="str">
        <f t="shared" si="35"/>
        <v/>
      </c>
      <c r="AH35" s="1" t="str">
        <f t="shared" si="36"/>
        <v/>
      </c>
      <c r="AI35" s="1">
        <f t="shared" si="1"/>
        <v>0</v>
      </c>
      <c r="AJ35" s="106" t="b">
        <f t="shared" si="2"/>
        <v>0</v>
      </c>
      <c r="AK35" s="106" t="b">
        <f t="shared" si="3"/>
        <v>0</v>
      </c>
      <c r="AL35" s="106" t="b">
        <f t="shared" si="4"/>
        <v>0</v>
      </c>
      <c r="AM35" s="106" t="b">
        <f t="shared" si="5"/>
        <v>0</v>
      </c>
      <c r="AN35" s="106" t="b">
        <f t="shared" si="6"/>
        <v>0</v>
      </c>
      <c r="AO35" s="106" t="b">
        <f t="shared" si="37"/>
        <v>0</v>
      </c>
      <c r="AP35" s="106" t="b">
        <f t="shared" si="7"/>
        <v>0</v>
      </c>
      <c r="AQ35" s="106" t="b">
        <f t="shared" si="8"/>
        <v>0</v>
      </c>
      <c r="AR35" s="106" t="b">
        <f t="shared" si="9"/>
        <v>0</v>
      </c>
      <c r="AS35" s="106" t="b">
        <f t="shared" si="10"/>
        <v>0</v>
      </c>
      <c r="AT35" s="148" t="str">
        <f t="shared" si="38"/>
        <v/>
      </c>
      <c r="AU35" s="198" t="e">
        <f t="shared" si="39"/>
        <v>#VALUE!</v>
      </c>
      <c r="AV35" s="204" t="str">
        <f t="shared" si="40"/>
        <v/>
      </c>
      <c r="AW35" s="107" t="str">
        <f t="shared" si="11"/>
        <v/>
      </c>
      <c r="AX35" s="108"/>
      <c r="AY35" s="109" t="str">
        <f t="shared" si="12"/>
        <v/>
      </c>
      <c r="AZ35" s="110"/>
      <c r="BA35" s="111" t="str">
        <f t="shared" si="13"/>
        <v/>
      </c>
      <c r="BB35" s="112"/>
      <c r="BC35" s="113" t="str">
        <f t="shared" si="14"/>
        <v/>
      </c>
      <c r="BD35" s="114">
        <f t="shared" si="15"/>
        <v>0</v>
      </c>
      <c r="BE35" s="118"/>
      <c r="BF35" s="113" t="str">
        <f t="shared" si="16"/>
        <v/>
      </c>
      <c r="BG35" s="116">
        <f t="shared" si="17"/>
        <v>0</v>
      </c>
    </row>
    <row r="36" spans="1:59" ht="15" customHeight="1" x14ac:dyDescent="0.2">
      <c r="A36">
        <v>20</v>
      </c>
      <c r="B36" s="187">
        <f>BEGINBLAD!B25</f>
        <v>0</v>
      </c>
      <c r="C36" s="110" t="str">
        <f>IF('RIO - E7'!C36="","",IF('RIO - E7'!C36&gt;"",'RIO - E7'!C36))</f>
        <v/>
      </c>
      <c r="D36" s="149" t="str">
        <f>IF('NW - M8'!N25="","",IF('NW - M8'!N25="A+","A",IF('NW - M8'!N25="A","A",IF('NW - M8'!N25="B","B",IF('NW - M8'!N25="C","C",IF('NW - M8'!N25="C-","C",IF('NW - M8'!N25="D","D",IF('NW - M8'!N25="E","E"))))))))</f>
        <v/>
      </c>
      <c r="E36" s="110"/>
      <c r="F36" s="192" t="str">
        <f t="shared" si="0"/>
        <v/>
      </c>
      <c r="G36" s="192" t="str">
        <f t="shared" si="0"/>
        <v/>
      </c>
      <c r="H36" s="191" t="str">
        <f t="shared" si="18"/>
        <v/>
      </c>
      <c r="I36" s="193" t="str">
        <f t="shared" si="19"/>
        <v/>
      </c>
      <c r="J36" s="208" t="str">
        <f t="shared" si="20"/>
        <v/>
      </c>
      <c r="K36" s="210" t="str">
        <f t="shared" si="21"/>
        <v/>
      </c>
      <c r="L36" s="189"/>
      <c r="M36" s="110"/>
      <c r="N36" s="117"/>
      <c r="O36" s="250">
        <f t="shared" si="22"/>
        <v>0</v>
      </c>
      <c r="P36" s="249">
        <f>IF('NW - M8'!D25=0,0,IF('NW - M8'!D25&gt;=0,'NW - M8'!D25))</f>
        <v>0</v>
      </c>
      <c r="Q36" s="206" t="str">
        <f t="shared" si="23"/>
        <v/>
      </c>
      <c r="R36" s="250">
        <f t="shared" si="24"/>
        <v>0</v>
      </c>
      <c r="S36" s="249">
        <f>IF('NW - M8'!F25=0,0,IF('NW - M8'!F25&gt;=0,'NW - M8'!F25))</f>
        <v>0</v>
      </c>
      <c r="T36" s="206" t="str">
        <f t="shared" si="25"/>
        <v/>
      </c>
      <c r="U36" s="250">
        <f t="shared" si="26"/>
        <v>0</v>
      </c>
      <c r="V36" s="249">
        <f>IF('NW - M8'!E25=0,0,IF('NW - M8'!E25&gt;=0,'NW - M8'!E25))</f>
        <v>0</v>
      </c>
      <c r="W36" s="206" t="str">
        <f t="shared" si="27"/>
        <v/>
      </c>
      <c r="X36" s="250">
        <f t="shared" si="28"/>
        <v>0</v>
      </c>
      <c r="Y36" s="249">
        <f>IF('NW - M8'!I25=0,0,IF('NW - M8'!I25&gt;=0,'NW - M8'!I25))</f>
        <v>0</v>
      </c>
      <c r="Z36" s="206" t="str">
        <f t="shared" si="29"/>
        <v/>
      </c>
      <c r="AA36" s="250">
        <f t="shared" si="30"/>
        <v>0</v>
      </c>
      <c r="AB36" s="249">
        <f>IF('NW - M8'!H25=0,0,IF('NW - M8'!H25&gt;=0,'NW - M8'!H25))</f>
        <v>0</v>
      </c>
      <c r="AC36" s="206" t="str">
        <f t="shared" si="31"/>
        <v/>
      </c>
      <c r="AD36" s="1" t="str">
        <f t="shared" si="32"/>
        <v/>
      </c>
      <c r="AE36" s="1" t="str">
        <f t="shared" si="33"/>
        <v/>
      </c>
      <c r="AF36" s="1" t="str">
        <f t="shared" si="34"/>
        <v/>
      </c>
      <c r="AG36" s="1" t="str">
        <f t="shared" si="35"/>
        <v/>
      </c>
      <c r="AH36" s="1" t="str">
        <f t="shared" si="36"/>
        <v/>
      </c>
      <c r="AI36" s="1">
        <f t="shared" si="1"/>
        <v>0</v>
      </c>
      <c r="AJ36" s="106" t="b">
        <f t="shared" si="2"/>
        <v>0</v>
      </c>
      <c r="AK36" s="106" t="b">
        <f t="shared" si="3"/>
        <v>0</v>
      </c>
      <c r="AL36" s="106" t="b">
        <f t="shared" si="4"/>
        <v>0</v>
      </c>
      <c r="AM36" s="106" t="b">
        <f t="shared" si="5"/>
        <v>0</v>
      </c>
      <c r="AN36" s="106" t="b">
        <f t="shared" si="6"/>
        <v>0</v>
      </c>
      <c r="AO36" s="106" t="b">
        <f t="shared" si="37"/>
        <v>0</v>
      </c>
      <c r="AP36" s="106" t="b">
        <f t="shared" si="7"/>
        <v>0</v>
      </c>
      <c r="AQ36" s="106" t="b">
        <f t="shared" si="8"/>
        <v>0</v>
      </c>
      <c r="AR36" s="106" t="b">
        <f t="shared" si="9"/>
        <v>0</v>
      </c>
      <c r="AS36" s="106" t="b">
        <f t="shared" si="10"/>
        <v>0</v>
      </c>
      <c r="AT36" s="148" t="str">
        <f t="shared" si="38"/>
        <v/>
      </c>
      <c r="AU36" s="198" t="e">
        <f t="shared" si="39"/>
        <v>#VALUE!</v>
      </c>
      <c r="AV36" s="204" t="str">
        <f t="shared" si="40"/>
        <v/>
      </c>
      <c r="AW36" s="107" t="str">
        <f t="shared" si="11"/>
        <v/>
      </c>
      <c r="AX36" s="108"/>
      <c r="AY36" s="109" t="str">
        <f t="shared" si="12"/>
        <v/>
      </c>
      <c r="AZ36" s="110"/>
      <c r="BA36" s="111" t="str">
        <f t="shared" si="13"/>
        <v/>
      </c>
      <c r="BB36" s="112"/>
      <c r="BC36" s="113" t="str">
        <f t="shared" si="14"/>
        <v/>
      </c>
      <c r="BD36" s="114">
        <f t="shared" si="15"/>
        <v>0</v>
      </c>
      <c r="BE36" s="118"/>
      <c r="BF36" s="113" t="str">
        <f t="shared" si="16"/>
        <v/>
      </c>
      <c r="BG36" s="116">
        <f t="shared" si="17"/>
        <v>0</v>
      </c>
    </row>
    <row r="37" spans="1:59" ht="15" customHeight="1" x14ac:dyDescent="0.2">
      <c r="A37">
        <v>21</v>
      </c>
      <c r="B37" s="187">
        <f>BEGINBLAD!B26</f>
        <v>0</v>
      </c>
      <c r="C37" s="110" t="str">
        <f>IF('RIO - E7'!C37="","",IF('RIO - E7'!C37&gt;"",'RIO - E7'!C37))</f>
        <v/>
      </c>
      <c r="D37" s="149" t="str">
        <f>IF('NW - M8'!N26="","",IF('NW - M8'!N26="A+","A",IF('NW - M8'!N26="A","A",IF('NW - M8'!N26="B","B",IF('NW - M8'!N26="C","C",IF('NW - M8'!N26="C-","C",IF('NW - M8'!N26="D","D",IF('NW - M8'!N26="E","E"))))))))</f>
        <v/>
      </c>
      <c r="E37" s="110"/>
      <c r="F37" s="192" t="str">
        <f t="shared" si="0"/>
        <v/>
      </c>
      <c r="G37" s="192" t="str">
        <f t="shared" si="0"/>
        <v/>
      </c>
      <c r="H37" s="191" t="str">
        <f t="shared" si="18"/>
        <v/>
      </c>
      <c r="I37" s="193" t="str">
        <f t="shared" si="19"/>
        <v/>
      </c>
      <c r="J37" s="208" t="str">
        <f t="shared" si="20"/>
        <v/>
      </c>
      <c r="K37" s="210" t="str">
        <f t="shared" si="21"/>
        <v/>
      </c>
      <c r="L37" s="189"/>
      <c r="M37" s="110"/>
      <c r="N37" s="117"/>
      <c r="O37" s="250">
        <f t="shared" si="22"/>
        <v>0</v>
      </c>
      <c r="P37" s="249">
        <f>IF('NW - M8'!D26=0,0,IF('NW - M8'!D26&gt;=0,'NW - M8'!D26))</f>
        <v>0</v>
      </c>
      <c r="Q37" s="206" t="str">
        <f t="shared" si="23"/>
        <v/>
      </c>
      <c r="R37" s="250">
        <f t="shared" si="24"/>
        <v>0</v>
      </c>
      <c r="S37" s="249">
        <f>IF('NW - M8'!F26=0,0,IF('NW - M8'!F26&gt;=0,'NW - M8'!F26))</f>
        <v>0</v>
      </c>
      <c r="T37" s="206" t="str">
        <f t="shared" si="25"/>
        <v/>
      </c>
      <c r="U37" s="250">
        <f t="shared" si="26"/>
        <v>0</v>
      </c>
      <c r="V37" s="249">
        <f>IF('NW - M8'!E26=0,0,IF('NW - M8'!E26&gt;=0,'NW - M8'!E26))</f>
        <v>0</v>
      </c>
      <c r="W37" s="206" t="str">
        <f t="shared" si="27"/>
        <v/>
      </c>
      <c r="X37" s="250">
        <f t="shared" si="28"/>
        <v>0</v>
      </c>
      <c r="Y37" s="249">
        <f>IF('NW - M8'!I26=0,0,IF('NW - M8'!I26&gt;=0,'NW - M8'!I26))</f>
        <v>0</v>
      </c>
      <c r="Z37" s="206" t="str">
        <f t="shared" si="29"/>
        <v/>
      </c>
      <c r="AA37" s="250">
        <f t="shared" si="30"/>
        <v>0</v>
      </c>
      <c r="AB37" s="249">
        <f>IF('NW - M8'!H26=0,0,IF('NW - M8'!H26&gt;=0,'NW - M8'!H26))</f>
        <v>0</v>
      </c>
      <c r="AC37" s="206" t="str">
        <f t="shared" si="31"/>
        <v/>
      </c>
      <c r="AD37" s="1" t="str">
        <f t="shared" si="32"/>
        <v/>
      </c>
      <c r="AE37" s="1" t="str">
        <f t="shared" si="33"/>
        <v/>
      </c>
      <c r="AF37" s="1" t="str">
        <f t="shared" si="34"/>
        <v/>
      </c>
      <c r="AG37" s="1" t="str">
        <f t="shared" si="35"/>
        <v/>
      </c>
      <c r="AH37" s="1" t="str">
        <f t="shared" si="36"/>
        <v/>
      </c>
      <c r="AI37" s="1">
        <f t="shared" si="1"/>
        <v>0</v>
      </c>
      <c r="AJ37" s="106" t="b">
        <f t="shared" si="2"/>
        <v>0</v>
      </c>
      <c r="AK37" s="106" t="b">
        <f t="shared" si="3"/>
        <v>0</v>
      </c>
      <c r="AL37" s="106" t="b">
        <f t="shared" si="4"/>
        <v>0</v>
      </c>
      <c r="AM37" s="106" t="b">
        <f t="shared" si="5"/>
        <v>0</v>
      </c>
      <c r="AN37" s="106" t="b">
        <f t="shared" si="6"/>
        <v>0</v>
      </c>
      <c r="AO37" s="106" t="b">
        <f t="shared" si="37"/>
        <v>0</v>
      </c>
      <c r="AP37" s="106" t="b">
        <f t="shared" si="7"/>
        <v>0</v>
      </c>
      <c r="AQ37" s="106" t="b">
        <f t="shared" si="8"/>
        <v>0</v>
      </c>
      <c r="AR37" s="106" t="b">
        <f t="shared" si="9"/>
        <v>0</v>
      </c>
      <c r="AS37" s="106" t="b">
        <f t="shared" si="10"/>
        <v>0</v>
      </c>
      <c r="AT37" s="148" t="str">
        <f t="shared" si="38"/>
        <v/>
      </c>
      <c r="AU37" s="198" t="e">
        <f t="shared" si="39"/>
        <v>#VALUE!</v>
      </c>
      <c r="AV37" s="204" t="str">
        <f t="shared" si="40"/>
        <v/>
      </c>
      <c r="AW37" s="107" t="str">
        <f t="shared" si="11"/>
        <v/>
      </c>
      <c r="AX37" s="108"/>
      <c r="AY37" s="109" t="str">
        <f t="shared" si="12"/>
        <v/>
      </c>
      <c r="AZ37" s="110"/>
      <c r="BA37" s="111" t="str">
        <f t="shared" si="13"/>
        <v/>
      </c>
      <c r="BB37" s="112"/>
      <c r="BC37" s="113" t="str">
        <f t="shared" si="14"/>
        <v/>
      </c>
      <c r="BD37" s="114">
        <f t="shared" si="15"/>
        <v>0</v>
      </c>
      <c r="BE37" s="118"/>
      <c r="BF37" s="113" t="str">
        <f t="shared" si="16"/>
        <v/>
      </c>
      <c r="BG37" s="116">
        <f t="shared" si="17"/>
        <v>0</v>
      </c>
    </row>
    <row r="38" spans="1:59" ht="15" customHeight="1" x14ac:dyDescent="0.2">
      <c r="A38">
        <v>22</v>
      </c>
      <c r="B38" s="187">
        <f>BEGINBLAD!B27</f>
        <v>0</v>
      </c>
      <c r="C38" s="110" t="str">
        <f>IF('RIO - E7'!C38="","",IF('RIO - E7'!C38&gt;"",'RIO - E7'!C38))</f>
        <v/>
      </c>
      <c r="D38" s="149" t="str">
        <f>IF('NW - M8'!N27="","",IF('NW - M8'!N27="A+","A",IF('NW - M8'!N27="A","A",IF('NW - M8'!N27="B","B",IF('NW - M8'!N27="C","C",IF('NW - M8'!N27="C-","C",IF('NW - M8'!N27="D","D",IF('NW - M8'!N27="E","E"))))))))</f>
        <v/>
      </c>
      <c r="E38" s="110"/>
      <c r="F38" s="192" t="str">
        <f t="shared" si="0"/>
        <v/>
      </c>
      <c r="G38" s="192" t="str">
        <f t="shared" si="0"/>
        <v/>
      </c>
      <c r="H38" s="191" t="str">
        <f t="shared" si="18"/>
        <v/>
      </c>
      <c r="I38" s="193" t="str">
        <f t="shared" si="19"/>
        <v/>
      </c>
      <c r="J38" s="208" t="str">
        <f t="shared" si="20"/>
        <v/>
      </c>
      <c r="K38" s="210" t="str">
        <f t="shared" si="21"/>
        <v/>
      </c>
      <c r="L38" s="189"/>
      <c r="M38" s="110"/>
      <c r="N38" s="117"/>
      <c r="O38" s="250">
        <f t="shared" si="22"/>
        <v>0</v>
      </c>
      <c r="P38" s="249">
        <f>IF('NW - M8'!D27=0,0,IF('NW - M8'!D27&gt;=0,'NW - M8'!D27))</f>
        <v>0</v>
      </c>
      <c r="Q38" s="206" t="str">
        <f t="shared" si="23"/>
        <v/>
      </c>
      <c r="R38" s="250">
        <f t="shared" si="24"/>
        <v>0</v>
      </c>
      <c r="S38" s="249">
        <f>IF('NW - M8'!F27=0,0,IF('NW - M8'!F27&gt;=0,'NW - M8'!F27))</f>
        <v>0</v>
      </c>
      <c r="T38" s="206" t="str">
        <f t="shared" si="25"/>
        <v/>
      </c>
      <c r="U38" s="250">
        <f t="shared" si="26"/>
        <v>0</v>
      </c>
      <c r="V38" s="249">
        <f>IF('NW - M8'!E27=0,0,IF('NW - M8'!E27&gt;=0,'NW - M8'!E27))</f>
        <v>0</v>
      </c>
      <c r="W38" s="206" t="str">
        <f t="shared" si="27"/>
        <v/>
      </c>
      <c r="X38" s="250">
        <f t="shared" si="28"/>
        <v>0</v>
      </c>
      <c r="Y38" s="249">
        <f>IF('NW - M8'!I27=0,0,IF('NW - M8'!I27&gt;=0,'NW - M8'!I27))</f>
        <v>0</v>
      </c>
      <c r="Z38" s="206" t="str">
        <f t="shared" si="29"/>
        <v/>
      </c>
      <c r="AA38" s="250">
        <f t="shared" si="30"/>
        <v>0</v>
      </c>
      <c r="AB38" s="249">
        <f>IF('NW - M8'!H27=0,0,IF('NW - M8'!H27&gt;=0,'NW - M8'!H27))</f>
        <v>0</v>
      </c>
      <c r="AC38" s="206" t="str">
        <f t="shared" si="31"/>
        <v/>
      </c>
      <c r="AD38" s="1" t="str">
        <f t="shared" si="32"/>
        <v/>
      </c>
      <c r="AE38" s="1" t="str">
        <f t="shared" si="33"/>
        <v/>
      </c>
      <c r="AF38" s="1" t="str">
        <f t="shared" si="34"/>
        <v/>
      </c>
      <c r="AG38" s="1" t="str">
        <f t="shared" si="35"/>
        <v/>
      </c>
      <c r="AH38" s="1" t="str">
        <f t="shared" si="36"/>
        <v/>
      </c>
      <c r="AI38" s="1">
        <f t="shared" si="1"/>
        <v>0</v>
      </c>
      <c r="AJ38" s="106" t="b">
        <f t="shared" si="2"/>
        <v>0</v>
      </c>
      <c r="AK38" s="106" t="b">
        <f t="shared" si="3"/>
        <v>0</v>
      </c>
      <c r="AL38" s="106" t="b">
        <f t="shared" si="4"/>
        <v>0</v>
      </c>
      <c r="AM38" s="106" t="b">
        <f t="shared" si="5"/>
        <v>0</v>
      </c>
      <c r="AN38" s="106" t="b">
        <f t="shared" si="6"/>
        <v>0</v>
      </c>
      <c r="AO38" s="106" t="b">
        <f t="shared" si="37"/>
        <v>0</v>
      </c>
      <c r="AP38" s="106" t="b">
        <f t="shared" si="7"/>
        <v>0</v>
      </c>
      <c r="AQ38" s="106" t="b">
        <f t="shared" si="8"/>
        <v>0</v>
      </c>
      <c r="AR38" s="106" t="b">
        <f t="shared" si="9"/>
        <v>0</v>
      </c>
      <c r="AS38" s="106" t="b">
        <f t="shared" si="10"/>
        <v>0</v>
      </c>
      <c r="AT38" s="148" t="str">
        <f t="shared" si="38"/>
        <v/>
      </c>
      <c r="AU38" s="198" t="e">
        <f t="shared" si="39"/>
        <v>#VALUE!</v>
      </c>
      <c r="AV38" s="204" t="str">
        <f t="shared" si="40"/>
        <v/>
      </c>
      <c r="AW38" s="107" t="str">
        <f t="shared" si="11"/>
        <v/>
      </c>
      <c r="AX38" s="108"/>
      <c r="AY38" s="109" t="str">
        <f t="shared" si="12"/>
        <v/>
      </c>
      <c r="AZ38" s="110"/>
      <c r="BA38" s="111" t="str">
        <f t="shared" si="13"/>
        <v/>
      </c>
      <c r="BB38" s="112"/>
      <c r="BC38" s="113" t="str">
        <f t="shared" si="14"/>
        <v/>
      </c>
      <c r="BD38" s="114">
        <f t="shared" si="15"/>
        <v>0</v>
      </c>
      <c r="BE38" s="118"/>
      <c r="BF38" s="113" t="str">
        <f t="shared" si="16"/>
        <v/>
      </c>
      <c r="BG38" s="116">
        <f t="shared" si="17"/>
        <v>0</v>
      </c>
    </row>
    <row r="39" spans="1:59" ht="15" customHeight="1" x14ac:dyDescent="0.2">
      <c r="A39">
        <v>23</v>
      </c>
      <c r="B39" s="187">
        <f>BEGINBLAD!B28</f>
        <v>0</v>
      </c>
      <c r="C39" s="110" t="str">
        <f>IF('RIO - E7'!C39="","",IF('RIO - E7'!C39&gt;"",'RIO - E7'!C39))</f>
        <v/>
      </c>
      <c r="D39" s="149" t="str">
        <f>IF('NW - M8'!N28="","",IF('NW - M8'!N28="A+","A",IF('NW - M8'!N28="A","A",IF('NW - M8'!N28="B","B",IF('NW - M8'!N28="C","C",IF('NW - M8'!N28="C-","C",IF('NW - M8'!N28="D","D",IF('NW - M8'!N28="E","E"))))))))</f>
        <v/>
      </c>
      <c r="E39" s="110"/>
      <c r="F39" s="192" t="str">
        <f t="shared" si="0"/>
        <v/>
      </c>
      <c r="G39" s="192" t="str">
        <f t="shared" si="0"/>
        <v/>
      </c>
      <c r="H39" s="191" t="str">
        <f t="shared" si="18"/>
        <v/>
      </c>
      <c r="I39" s="193" t="str">
        <f t="shared" si="19"/>
        <v/>
      </c>
      <c r="J39" s="208" t="str">
        <f t="shared" si="20"/>
        <v/>
      </c>
      <c r="K39" s="210" t="str">
        <f t="shared" si="21"/>
        <v/>
      </c>
      <c r="L39" s="189"/>
      <c r="M39" s="110"/>
      <c r="N39" s="117"/>
      <c r="O39" s="250">
        <f t="shared" si="22"/>
        <v>0</v>
      </c>
      <c r="P39" s="249">
        <f>IF('NW - M8'!D28=0,0,IF('NW - M8'!D28&gt;=0,'NW - M8'!D28))</f>
        <v>0</v>
      </c>
      <c r="Q39" s="206" t="str">
        <f t="shared" si="23"/>
        <v/>
      </c>
      <c r="R39" s="250">
        <f t="shared" si="24"/>
        <v>0</v>
      </c>
      <c r="S39" s="249">
        <f>IF('NW - M8'!F28=0,0,IF('NW - M8'!F28&gt;=0,'NW - M8'!F28))</f>
        <v>0</v>
      </c>
      <c r="T39" s="206" t="str">
        <f t="shared" si="25"/>
        <v/>
      </c>
      <c r="U39" s="250">
        <f t="shared" si="26"/>
        <v>0</v>
      </c>
      <c r="V39" s="249">
        <f>IF('NW - M8'!E28=0,0,IF('NW - M8'!E28&gt;=0,'NW - M8'!E28))</f>
        <v>0</v>
      </c>
      <c r="W39" s="206" t="str">
        <f t="shared" si="27"/>
        <v/>
      </c>
      <c r="X39" s="250">
        <f t="shared" si="28"/>
        <v>0</v>
      </c>
      <c r="Y39" s="249">
        <f>IF('NW - M8'!I28=0,0,IF('NW - M8'!I28&gt;=0,'NW - M8'!I28))</f>
        <v>0</v>
      </c>
      <c r="Z39" s="206" t="str">
        <f t="shared" si="29"/>
        <v/>
      </c>
      <c r="AA39" s="250">
        <f t="shared" si="30"/>
        <v>0</v>
      </c>
      <c r="AB39" s="249">
        <f>IF('NW - M8'!H28=0,0,IF('NW - M8'!H28&gt;=0,'NW - M8'!H28))</f>
        <v>0</v>
      </c>
      <c r="AC39" s="206" t="str">
        <f t="shared" si="31"/>
        <v/>
      </c>
      <c r="AD39" s="1" t="str">
        <f t="shared" si="32"/>
        <v/>
      </c>
      <c r="AE39" s="1" t="str">
        <f t="shared" si="33"/>
        <v/>
      </c>
      <c r="AF39" s="1" t="str">
        <f t="shared" si="34"/>
        <v/>
      </c>
      <c r="AG39" s="1" t="str">
        <f t="shared" si="35"/>
        <v/>
      </c>
      <c r="AH39" s="1" t="str">
        <f t="shared" si="36"/>
        <v/>
      </c>
      <c r="AI39" s="1">
        <f t="shared" si="1"/>
        <v>0</v>
      </c>
      <c r="AJ39" s="106" t="b">
        <f t="shared" si="2"/>
        <v>0</v>
      </c>
      <c r="AK39" s="106" t="b">
        <f t="shared" si="3"/>
        <v>0</v>
      </c>
      <c r="AL39" s="106" t="b">
        <f t="shared" si="4"/>
        <v>0</v>
      </c>
      <c r="AM39" s="106" t="b">
        <f t="shared" si="5"/>
        <v>0</v>
      </c>
      <c r="AN39" s="106" t="b">
        <f t="shared" si="6"/>
        <v>0</v>
      </c>
      <c r="AO39" s="106" t="b">
        <f t="shared" si="37"/>
        <v>0</v>
      </c>
      <c r="AP39" s="106" t="b">
        <f t="shared" si="7"/>
        <v>0</v>
      </c>
      <c r="AQ39" s="106" t="b">
        <f t="shared" si="8"/>
        <v>0</v>
      </c>
      <c r="AR39" s="106" t="b">
        <f t="shared" si="9"/>
        <v>0</v>
      </c>
      <c r="AS39" s="106" t="b">
        <f t="shared" si="10"/>
        <v>0</v>
      </c>
      <c r="AT39" s="148" t="str">
        <f t="shared" si="38"/>
        <v/>
      </c>
      <c r="AU39" s="198" t="e">
        <f t="shared" si="39"/>
        <v>#VALUE!</v>
      </c>
      <c r="AV39" s="204" t="str">
        <f t="shared" si="40"/>
        <v/>
      </c>
      <c r="AW39" s="107" t="str">
        <f t="shared" si="11"/>
        <v/>
      </c>
      <c r="AX39" s="108"/>
      <c r="AY39" s="109" t="str">
        <f t="shared" si="12"/>
        <v/>
      </c>
      <c r="AZ39" s="110"/>
      <c r="BA39" s="111" t="str">
        <f t="shared" si="13"/>
        <v/>
      </c>
      <c r="BB39" s="112"/>
      <c r="BC39" s="113" t="str">
        <f t="shared" si="14"/>
        <v/>
      </c>
      <c r="BD39" s="114">
        <f t="shared" si="15"/>
        <v>0</v>
      </c>
      <c r="BE39" s="118"/>
      <c r="BF39" s="113" t="str">
        <f t="shared" si="16"/>
        <v/>
      </c>
      <c r="BG39" s="116">
        <f t="shared" si="17"/>
        <v>0</v>
      </c>
    </row>
    <row r="40" spans="1:59" ht="15" customHeight="1" x14ac:dyDescent="0.2">
      <c r="A40">
        <v>24</v>
      </c>
      <c r="B40" s="187">
        <f>BEGINBLAD!B29</f>
        <v>0</v>
      </c>
      <c r="C40" s="110" t="str">
        <f>IF('RIO - E7'!C40="","",IF('RIO - E7'!C40&gt;"",'RIO - E7'!C40))</f>
        <v/>
      </c>
      <c r="D40" s="149" t="str">
        <f>IF('NW - M8'!N29="","",IF('NW - M8'!N29="A+","A",IF('NW - M8'!N29="A","A",IF('NW - M8'!N29="B","B",IF('NW - M8'!N29="C","C",IF('NW - M8'!N29="C-","C",IF('NW - M8'!N29="D","D",IF('NW - M8'!N29="E","E"))))))))</f>
        <v/>
      </c>
      <c r="E40" s="110"/>
      <c r="F40" s="192" t="str">
        <f t="shared" si="0"/>
        <v/>
      </c>
      <c r="G40" s="192" t="str">
        <f t="shared" si="0"/>
        <v/>
      </c>
      <c r="H40" s="191" t="str">
        <f t="shared" si="18"/>
        <v/>
      </c>
      <c r="I40" s="193" t="str">
        <f t="shared" si="19"/>
        <v/>
      </c>
      <c r="J40" s="208" t="str">
        <f t="shared" si="20"/>
        <v/>
      </c>
      <c r="K40" s="210" t="str">
        <f t="shared" si="21"/>
        <v/>
      </c>
      <c r="L40" s="189"/>
      <c r="M40" s="110"/>
      <c r="N40" s="117"/>
      <c r="O40" s="250">
        <f t="shared" si="22"/>
        <v>0</v>
      </c>
      <c r="P40" s="249">
        <f>IF('NW - M8'!D29=0,0,IF('NW - M8'!D29&gt;=0,'NW - M8'!D29))</f>
        <v>0</v>
      </c>
      <c r="Q40" s="206" t="str">
        <f t="shared" si="23"/>
        <v/>
      </c>
      <c r="R40" s="250">
        <f t="shared" si="24"/>
        <v>0</v>
      </c>
      <c r="S40" s="249">
        <f>IF('NW - M8'!F29=0,0,IF('NW - M8'!F29&gt;=0,'NW - M8'!F29))</f>
        <v>0</v>
      </c>
      <c r="T40" s="206" t="str">
        <f t="shared" si="25"/>
        <v/>
      </c>
      <c r="U40" s="250">
        <f t="shared" si="26"/>
        <v>0</v>
      </c>
      <c r="V40" s="249">
        <f>IF('NW - M8'!E29=0,0,IF('NW - M8'!E29&gt;=0,'NW - M8'!E29))</f>
        <v>0</v>
      </c>
      <c r="W40" s="206" t="str">
        <f t="shared" si="27"/>
        <v/>
      </c>
      <c r="X40" s="250">
        <f t="shared" si="28"/>
        <v>0</v>
      </c>
      <c r="Y40" s="249">
        <f>IF('NW - M8'!I29=0,0,IF('NW - M8'!I29&gt;=0,'NW - M8'!I29))</f>
        <v>0</v>
      </c>
      <c r="Z40" s="206" t="str">
        <f t="shared" si="29"/>
        <v/>
      </c>
      <c r="AA40" s="250">
        <f t="shared" si="30"/>
        <v>0</v>
      </c>
      <c r="AB40" s="249">
        <f>IF('NW - M8'!H29=0,0,IF('NW - M8'!H29&gt;=0,'NW - M8'!H29))</f>
        <v>0</v>
      </c>
      <c r="AC40" s="206" t="str">
        <f t="shared" si="31"/>
        <v/>
      </c>
      <c r="AD40" s="1" t="str">
        <f t="shared" si="32"/>
        <v/>
      </c>
      <c r="AE40" s="1" t="str">
        <f t="shared" si="33"/>
        <v/>
      </c>
      <c r="AF40" s="1" t="str">
        <f t="shared" si="34"/>
        <v/>
      </c>
      <c r="AG40" s="1" t="str">
        <f t="shared" si="35"/>
        <v/>
      </c>
      <c r="AH40" s="1" t="str">
        <f t="shared" si="36"/>
        <v/>
      </c>
      <c r="AI40" s="1">
        <f t="shared" si="1"/>
        <v>0</v>
      </c>
      <c r="AJ40" s="106" t="b">
        <f t="shared" si="2"/>
        <v>0</v>
      </c>
      <c r="AK40" s="106" t="b">
        <f t="shared" si="3"/>
        <v>0</v>
      </c>
      <c r="AL40" s="106" t="b">
        <f t="shared" si="4"/>
        <v>0</v>
      </c>
      <c r="AM40" s="106" t="b">
        <f t="shared" si="5"/>
        <v>0</v>
      </c>
      <c r="AN40" s="106" t="b">
        <f t="shared" si="6"/>
        <v>0</v>
      </c>
      <c r="AO40" s="106" t="b">
        <f t="shared" si="37"/>
        <v>0</v>
      </c>
      <c r="AP40" s="106" t="b">
        <f t="shared" si="7"/>
        <v>0</v>
      </c>
      <c r="AQ40" s="106" t="b">
        <f t="shared" si="8"/>
        <v>0</v>
      </c>
      <c r="AR40" s="106" t="b">
        <f t="shared" si="9"/>
        <v>0</v>
      </c>
      <c r="AS40" s="106" t="b">
        <f t="shared" si="10"/>
        <v>0</v>
      </c>
      <c r="AT40" s="148" t="str">
        <f t="shared" si="38"/>
        <v/>
      </c>
      <c r="AU40" s="198" t="e">
        <f t="shared" si="39"/>
        <v>#VALUE!</v>
      </c>
      <c r="AV40" s="204" t="str">
        <f t="shared" si="40"/>
        <v/>
      </c>
      <c r="AW40" s="107" t="str">
        <f t="shared" si="11"/>
        <v/>
      </c>
      <c r="AX40" s="108"/>
      <c r="AY40" s="109" t="str">
        <f t="shared" si="12"/>
        <v/>
      </c>
      <c r="AZ40" s="110"/>
      <c r="BA40" s="111" t="str">
        <f t="shared" si="13"/>
        <v/>
      </c>
      <c r="BB40" s="112"/>
      <c r="BC40" s="113" t="str">
        <f t="shared" si="14"/>
        <v/>
      </c>
      <c r="BD40" s="114">
        <f t="shared" si="15"/>
        <v>0</v>
      </c>
      <c r="BE40" s="118"/>
      <c r="BF40" s="113" t="str">
        <f t="shared" si="16"/>
        <v/>
      </c>
      <c r="BG40" s="116">
        <f t="shared" si="17"/>
        <v>0</v>
      </c>
    </row>
    <row r="41" spans="1:59" ht="15" customHeight="1" x14ac:dyDescent="0.2">
      <c r="A41">
        <v>25</v>
      </c>
      <c r="B41" s="187">
        <f>BEGINBLAD!B30</f>
        <v>0</v>
      </c>
      <c r="C41" s="110" t="str">
        <f>IF('RIO - E7'!C41="","",IF('RIO - E7'!C41&gt;"",'RIO - E7'!C41))</f>
        <v/>
      </c>
      <c r="D41" s="149" t="str">
        <f>IF('NW - M8'!N30="","",IF('NW - M8'!N30="A+","A",IF('NW - M8'!N30="A","A",IF('NW - M8'!N30="B","B",IF('NW - M8'!N30="C","C",IF('NW - M8'!N30="C-","C",IF('NW - M8'!N30="D","D",IF('NW - M8'!N30="E","E"))))))))</f>
        <v/>
      </c>
      <c r="E41" s="110"/>
      <c r="F41" s="192" t="str">
        <f t="shared" si="0"/>
        <v/>
      </c>
      <c r="G41" s="192" t="str">
        <f t="shared" si="0"/>
        <v/>
      </c>
      <c r="H41" s="191" t="str">
        <f t="shared" si="18"/>
        <v/>
      </c>
      <c r="I41" s="193" t="str">
        <f t="shared" si="19"/>
        <v/>
      </c>
      <c r="J41" s="208" t="str">
        <f t="shared" si="20"/>
        <v/>
      </c>
      <c r="K41" s="210" t="str">
        <f t="shared" si="21"/>
        <v/>
      </c>
      <c r="L41" s="189"/>
      <c r="M41" s="110"/>
      <c r="N41" s="117"/>
      <c r="O41" s="250">
        <f t="shared" si="22"/>
        <v>0</v>
      </c>
      <c r="P41" s="249">
        <f>IF('NW - M8'!D30=0,0,IF('NW - M8'!D30&gt;=0,'NW - M8'!D30))</f>
        <v>0</v>
      </c>
      <c r="Q41" s="206" t="str">
        <f t="shared" si="23"/>
        <v/>
      </c>
      <c r="R41" s="250">
        <f t="shared" si="24"/>
        <v>0</v>
      </c>
      <c r="S41" s="249">
        <f>IF('NW - M8'!F30=0,0,IF('NW - M8'!F30&gt;=0,'NW - M8'!F30))</f>
        <v>0</v>
      </c>
      <c r="T41" s="206" t="str">
        <f t="shared" si="25"/>
        <v/>
      </c>
      <c r="U41" s="250">
        <f t="shared" si="26"/>
        <v>0</v>
      </c>
      <c r="V41" s="249">
        <f>IF('NW - M8'!E30=0,0,IF('NW - M8'!E30&gt;=0,'NW - M8'!E30))</f>
        <v>0</v>
      </c>
      <c r="W41" s="206" t="str">
        <f t="shared" si="27"/>
        <v/>
      </c>
      <c r="X41" s="250">
        <f t="shared" si="28"/>
        <v>0</v>
      </c>
      <c r="Y41" s="249">
        <f>IF('NW - M8'!I30=0,0,IF('NW - M8'!I30&gt;=0,'NW - M8'!I30))</f>
        <v>0</v>
      </c>
      <c r="Z41" s="206" t="str">
        <f t="shared" si="29"/>
        <v/>
      </c>
      <c r="AA41" s="250">
        <f t="shared" si="30"/>
        <v>0</v>
      </c>
      <c r="AB41" s="249">
        <f>IF('NW - M8'!H30=0,0,IF('NW - M8'!H30&gt;=0,'NW - M8'!H30))</f>
        <v>0</v>
      </c>
      <c r="AC41" s="206" t="str">
        <f t="shared" si="31"/>
        <v/>
      </c>
      <c r="AD41" s="1" t="str">
        <f t="shared" si="32"/>
        <v/>
      </c>
      <c r="AE41" s="1" t="str">
        <f t="shared" si="33"/>
        <v/>
      </c>
      <c r="AF41" s="1" t="str">
        <f t="shared" si="34"/>
        <v/>
      </c>
      <c r="AG41" s="1" t="str">
        <f t="shared" si="35"/>
        <v/>
      </c>
      <c r="AH41" s="1" t="str">
        <f t="shared" si="36"/>
        <v/>
      </c>
      <c r="AI41" s="1">
        <f t="shared" si="1"/>
        <v>0</v>
      </c>
      <c r="AJ41" s="106" t="b">
        <f t="shared" si="2"/>
        <v>0</v>
      </c>
      <c r="AK41" s="106" t="b">
        <f t="shared" si="3"/>
        <v>0</v>
      </c>
      <c r="AL41" s="106" t="b">
        <f t="shared" si="4"/>
        <v>0</v>
      </c>
      <c r="AM41" s="106" t="b">
        <f t="shared" si="5"/>
        <v>0</v>
      </c>
      <c r="AN41" s="106" t="b">
        <f t="shared" si="6"/>
        <v>0</v>
      </c>
      <c r="AO41" s="106" t="b">
        <f t="shared" si="37"/>
        <v>0</v>
      </c>
      <c r="AP41" s="106" t="b">
        <f t="shared" si="7"/>
        <v>0</v>
      </c>
      <c r="AQ41" s="106" t="b">
        <f t="shared" si="8"/>
        <v>0</v>
      </c>
      <c r="AR41" s="106" t="b">
        <f t="shared" si="9"/>
        <v>0</v>
      </c>
      <c r="AS41" s="106" t="b">
        <f t="shared" si="10"/>
        <v>0</v>
      </c>
      <c r="AT41" s="148" t="str">
        <f t="shared" si="38"/>
        <v/>
      </c>
      <c r="AU41" s="198" t="e">
        <f t="shared" si="39"/>
        <v>#VALUE!</v>
      </c>
      <c r="AV41" s="204" t="str">
        <f t="shared" si="40"/>
        <v/>
      </c>
      <c r="AW41" s="107" t="str">
        <f t="shared" si="11"/>
        <v/>
      </c>
      <c r="AX41" s="108"/>
      <c r="AY41" s="109" t="str">
        <f t="shared" si="12"/>
        <v/>
      </c>
      <c r="AZ41" s="110"/>
      <c r="BA41" s="111" t="str">
        <f t="shared" si="13"/>
        <v/>
      </c>
      <c r="BB41" s="112"/>
      <c r="BC41" s="113" t="str">
        <f t="shared" si="14"/>
        <v/>
      </c>
      <c r="BD41" s="114">
        <f t="shared" si="15"/>
        <v>0</v>
      </c>
      <c r="BE41" s="118"/>
      <c r="BF41" s="113" t="str">
        <f t="shared" si="16"/>
        <v/>
      </c>
      <c r="BG41" s="116">
        <f t="shared" si="17"/>
        <v>0</v>
      </c>
    </row>
    <row r="42" spans="1:59" ht="15" customHeight="1" x14ac:dyDescent="0.2">
      <c r="A42">
        <v>26</v>
      </c>
      <c r="B42" s="187">
        <f>BEGINBLAD!B31</f>
        <v>0</v>
      </c>
      <c r="C42" s="110" t="str">
        <f>IF('RIO - E7'!C42="","",IF('RIO - E7'!C42&gt;"",'RIO - E7'!C42))</f>
        <v/>
      </c>
      <c r="D42" s="149" t="str">
        <f>IF('NW - M8'!N31="","",IF('NW - M8'!N31="A+","A",IF('NW - M8'!N31="A","A",IF('NW - M8'!N31="B","B",IF('NW - M8'!N31="C","C",IF('NW - M8'!N31="C-","C",IF('NW - M8'!N31="D","D",IF('NW - M8'!N31="E","E"))))))))</f>
        <v/>
      </c>
      <c r="E42" s="110"/>
      <c r="F42" s="192" t="str">
        <f t="shared" si="0"/>
        <v/>
      </c>
      <c r="G42" s="192" t="str">
        <f t="shared" si="0"/>
        <v/>
      </c>
      <c r="H42" s="191" t="str">
        <f t="shared" si="18"/>
        <v/>
      </c>
      <c r="I42" s="193" t="str">
        <f t="shared" si="19"/>
        <v/>
      </c>
      <c r="J42" s="208" t="str">
        <f t="shared" si="20"/>
        <v/>
      </c>
      <c r="K42" s="210" t="str">
        <f t="shared" si="21"/>
        <v/>
      </c>
      <c r="L42" s="189"/>
      <c r="M42" s="110"/>
      <c r="N42" s="117"/>
      <c r="O42" s="250">
        <f t="shared" si="22"/>
        <v>0</v>
      </c>
      <c r="P42" s="249">
        <f>IF('NW - M8'!D31=0,0,IF('NW - M8'!D31&gt;=0,'NW - M8'!D31))</f>
        <v>0</v>
      </c>
      <c r="Q42" s="206" t="str">
        <f t="shared" si="23"/>
        <v/>
      </c>
      <c r="R42" s="250">
        <f t="shared" si="24"/>
        <v>0</v>
      </c>
      <c r="S42" s="249">
        <f>IF('NW - M8'!F31=0,0,IF('NW - M8'!F31&gt;=0,'NW - M8'!F31))</f>
        <v>0</v>
      </c>
      <c r="T42" s="206" t="str">
        <f t="shared" si="25"/>
        <v/>
      </c>
      <c r="U42" s="250">
        <f t="shared" si="26"/>
        <v>0</v>
      </c>
      <c r="V42" s="249">
        <f>IF('NW - M8'!E31=0,0,IF('NW - M8'!E31&gt;=0,'NW - M8'!E31))</f>
        <v>0</v>
      </c>
      <c r="W42" s="206" t="str">
        <f t="shared" si="27"/>
        <v/>
      </c>
      <c r="X42" s="250">
        <f t="shared" si="28"/>
        <v>0</v>
      </c>
      <c r="Y42" s="249">
        <f>IF('NW - M8'!I31=0,0,IF('NW - M8'!I31&gt;=0,'NW - M8'!I31))</f>
        <v>0</v>
      </c>
      <c r="Z42" s="206" t="str">
        <f t="shared" si="29"/>
        <v/>
      </c>
      <c r="AA42" s="250">
        <f t="shared" si="30"/>
        <v>0</v>
      </c>
      <c r="AB42" s="249">
        <f>IF('NW - M8'!H31=0,0,IF('NW - M8'!H31&gt;=0,'NW - M8'!H31))</f>
        <v>0</v>
      </c>
      <c r="AC42" s="206" t="str">
        <f t="shared" si="31"/>
        <v/>
      </c>
      <c r="AD42" s="1" t="str">
        <f t="shared" si="32"/>
        <v/>
      </c>
      <c r="AE42" s="1" t="str">
        <f t="shared" si="33"/>
        <v/>
      </c>
      <c r="AF42" s="1" t="str">
        <f t="shared" si="34"/>
        <v/>
      </c>
      <c r="AG42" s="1" t="str">
        <f t="shared" si="35"/>
        <v/>
      </c>
      <c r="AH42" s="1" t="str">
        <f t="shared" si="36"/>
        <v/>
      </c>
      <c r="AI42" s="1">
        <f t="shared" si="1"/>
        <v>0</v>
      </c>
      <c r="AJ42" s="106" t="b">
        <f t="shared" si="2"/>
        <v>0</v>
      </c>
      <c r="AK42" s="106" t="b">
        <f t="shared" si="3"/>
        <v>0</v>
      </c>
      <c r="AL42" s="106" t="b">
        <f t="shared" si="4"/>
        <v>0</v>
      </c>
      <c r="AM42" s="106" t="b">
        <f t="shared" si="5"/>
        <v>0</v>
      </c>
      <c r="AN42" s="106" t="b">
        <f t="shared" si="6"/>
        <v>0</v>
      </c>
      <c r="AO42" s="106" t="b">
        <f t="shared" si="37"/>
        <v>0</v>
      </c>
      <c r="AP42" s="106" t="b">
        <f t="shared" si="7"/>
        <v>0</v>
      </c>
      <c r="AQ42" s="106" t="b">
        <f t="shared" si="8"/>
        <v>0</v>
      </c>
      <c r="AR42" s="106" t="b">
        <f t="shared" si="9"/>
        <v>0</v>
      </c>
      <c r="AS42" s="106" t="b">
        <f t="shared" si="10"/>
        <v>0</v>
      </c>
      <c r="AT42" s="148" t="str">
        <f t="shared" si="38"/>
        <v/>
      </c>
      <c r="AU42" s="198" t="e">
        <f t="shared" si="39"/>
        <v>#VALUE!</v>
      </c>
      <c r="AV42" s="204" t="str">
        <f t="shared" si="40"/>
        <v/>
      </c>
      <c r="AW42" s="107" t="str">
        <f t="shared" si="11"/>
        <v/>
      </c>
      <c r="AX42" s="119" t="b">
        <f>IF($J$1=3,1,IF($J$1="3A",1,IF($J$1="3B",1,IF($J$1="3C",1))))</f>
        <v>0</v>
      </c>
      <c r="AY42" s="109" t="str">
        <f t="shared" si="12"/>
        <v/>
      </c>
      <c r="AZ42" s="110"/>
      <c r="BA42" s="111" t="str">
        <f t="shared" si="13"/>
        <v/>
      </c>
      <c r="BB42" s="112"/>
      <c r="BC42" s="113" t="str">
        <f t="shared" si="14"/>
        <v/>
      </c>
      <c r="BD42" s="114">
        <f t="shared" si="15"/>
        <v>0</v>
      </c>
      <c r="BE42" s="118"/>
      <c r="BF42" s="113" t="str">
        <f t="shared" si="16"/>
        <v/>
      </c>
      <c r="BG42" s="116">
        <f t="shared" si="17"/>
        <v>0</v>
      </c>
    </row>
    <row r="43" spans="1:59" ht="15" customHeight="1" x14ac:dyDescent="0.2">
      <c r="A43">
        <v>27</v>
      </c>
      <c r="B43" s="187">
        <f>BEGINBLAD!B32</f>
        <v>0</v>
      </c>
      <c r="C43" s="110" t="str">
        <f>IF('RIO - E7'!C43="","",IF('RIO - E7'!C43&gt;"",'RIO - E7'!C43))</f>
        <v/>
      </c>
      <c r="D43" s="149" t="str">
        <f>IF('NW - M8'!N32="","",IF('NW - M8'!N32="A+","A",IF('NW - M8'!N32="A","A",IF('NW - M8'!N32="B","B",IF('NW - M8'!N32="C","C",IF('NW - M8'!N32="C-","C",IF('NW - M8'!N32="D","D",IF('NW - M8'!N32="E","E"))))))))</f>
        <v/>
      </c>
      <c r="E43" s="110"/>
      <c r="F43" s="192" t="str">
        <f t="shared" si="0"/>
        <v/>
      </c>
      <c r="G43" s="192" t="str">
        <f t="shared" si="0"/>
        <v/>
      </c>
      <c r="H43" s="191" t="str">
        <f t="shared" si="18"/>
        <v/>
      </c>
      <c r="I43" s="193" t="str">
        <f t="shared" si="19"/>
        <v/>
      </c>
      <c r="J43" s="208" t="str">
        <f t="shared" si="20"/>
        <v/>
      </c>
      <c r="K43" s="210" t="str">
        <f t="shared" si="21"/>
        <v/>
      </c>
      <c r="L43" s="189"/>
      <c r="M43" s="110"/>
      <c r="N43" s="117"/>
      <c r="O43" s="250">
        <f t="shared" si="22"/>
        <v>0</v>
      </c>
      <c r="P43" s="249">
        <f>IF('NW - M8'!D32=0,0,IF('NW - M8'!D32&gt;=0,'NW - M8'!D32))</f>
        <v>0</v>
      </c>
      <c r="Q43" s="206" t="str">
        <f t="shared" si="23"/>
        <v/>
      </c>
      <c r="R43" s="250">
        <f t="shared" si="24"/>
        <v>0</v>
      </c>
      <c r="S43" s="249">
        <f>IF('NW - M8'!F32=0,0,IF('NW - M8'!F32&gt;=0,'NW - M8'!F32))</f>
        <v>0</v>
      </c>
      <c r="T43" s="206" t="str">
        <f t="shared" si="25"/>
        <v/>
      </c>
      <c r="U43" s="250">
        <f t="shared" si="26"/>
        <v>0</v>
      </c>
      <c r="V43" s="249">
        <f>IF('NW - M8'!E32=0,0,IF('NW - M8'!E32&gt;=0,'NW - M8'!E32))</f>
        <v>0</v>
      </c>
      <c r="W43" s="206" t="str">
        <f t="shared" si="27"/>
        <v/>
      </c>
      <c r="X43" s="250">
        <f t="shared" si="28"/>
        <v>0</v>
      </c>
      <c r="Y43" s="249">
        <f>IF('NW - M8'!I32=0,0,IF('NW - M8'!I32&gt;=0,'NW - M8'!I32))</f>
        <v>0</v>
      </c>
      <c r="Z43" s="206" t="str">
        <f t="shared" si="29"/>
        <v/>
      </c>
      <c r="AA43" s="250">
        <f t="shared" si="30"/>
        <v>0</v>
      </c>
      <c r="AB43" s="249">
        <f>IF('NW - M8'!H32=0,0,IF('NW - M8'!H32&gt;=0,'NW - M8'!H32))</f>
        <v>0</v>
      </c>
      <c r="AC43" s="206" t="str">
        <f t="shared" si="31"/>
        <v/>
      </c>
      <c r="AD43" s="1" t="str">
        <f t="shared" si="32"/>
        <v/>
      </c>
      <c r="AE43" s="1" t="str">
        <f t="shared" si="33"/>
        <v/>
      </c>
      <c r="AF43" s="1" t="str">
        <f t="shared" si="34"/>
        <v/>
      </c>
      <c r="AG43" s="1" t="str">
        <f t="shared" si="35"/>
        <v/>
      </c>
      <c r="AH43" s="1" t="str">
        <f t="shared" si="36"/>
        <v/>
      </c>
      <c r="AI43" s="1">
        <f t="shared" si="1"/>
        <v>0</v>
      </c>
      <c r="AJ43" s="106" t="b">
        <f t="shared" si="2"/>
        <v>0</v>
      </c>
      <c r="AK43" s="106" t="b">
        <f t="shared" si="3"/>
        <v>0</v>
      </c>
      <c r="AL43" s="106" t="b">
        <f t="shared" si="4"/>
        <v>0</v>
      </c>
      <c r="AM43" s="106" t="b">
        <f t="shared" si="5"/>
        <v>0</v>
      </c>
      <c r="AN43" s="106" t="b">
        <f t="shared" si="6"/>
        <v>0</v>
      </c>
      <c r="AO43" s="106" t="b">
        <f t="shared" si="37"/>
        <v>0</v>
      </c>
      <c r="AP43" s="106" t="b">
        <f t="shared" si="7"/>
        <v>0</v>
      </c>
      <c r="AQ43" s="106" t="b">
        <f t="shared" si="8"/>
        <v>0</v>
      </c>
      <c r="AR43" s="106" t="b">
        <f t="shared" si="9"/>
        <v>0</v>
      </c>
      <c r="AS43" s="106" t="b">
        <f t="shared" si="10"/>
        <v>0</v>
      </c>
      <c r="AT43" s="148" t="str">
        <f t="shared" si="38"/>
        <v/>
      </c>
      <c r="AU43" s="198" t="e">
        <f t="shared" si="39"/>
        <v>#VALUE!</v>
      </c>
      <c r="AV43" s="204" t="str">
        <f t="shared" si="40"/>
        <v/>
      </c>
      <c r="AW43" s="107" t="str">
        <f t="shared" si="11"/>
        <v/>
      </c>
      <c r="AX43" s="119" t="b">
        <f>IF($J$1=4,2,IF($J$1="4A",2,IF($J$1="4B",2,IF($J$1="4C",2))))</f>
        <v>0</v>
      </c>
      <c r="AY43" s="109" t="str">
        <f t="shared" si="12"/>
        <v/>
      </c>
      <c r="AZ43" s="110"/>
      <c r="BA43" s="111" t="str">
        <f t="shared" si="13"/>
        <v/>
      </c>
      <c r="BB43" s="112"/>
      <c r="BC43" s="113" t="str">
        <f t="shared" si="14"/>
        <v/>
      </c>
      <c r="BD43" s="114">
        <f t="shared" si="15"/>
        <v>0</v>
      </c>
      <c r="BE43" s="118"/>
      <c r="BF43" s="113" t="str">
        <f t="shared" si="16"/>
        <v/>
      </c>
      <c r="BG43" s="116">
        <f t="shared" si="17"/>
        <v>0</v>
      </c>
    </row>
    <row r="44" spans="1:59" ht="15" customHeight="1" x14ac:dyDescent="0.2">
      <c r="A44">
        <v>28</v>
      </c>
      <c r="B44" s="187">
        <f>BEGINBLAD!B33</f>
        <v>0</v>
      </c>
      <c r="C44" s="110" t="str">
        <f>IF('RIO - E7'!C44="","",IF('RIO - E7'!C44&gt;"",'RIO - E7'!C44))</f>
        <v/>
      </c>
      <c r="D44" s="149" t="str">
        <f>IF('NW - M8'!N33="","",IF('NW - M8'!N33="A+","A",IF('NW - M8'!N33="A","A",IF('NW - M8'!N33="B","B",IF('NW - M8'!N33="C","C",IF('NW - M8'!N33="C-","C",IF('NW - M8'!N33="D","D",IF('NW - M8'!N33="E","E"))))))))</f>
        <v/>
      </c>
      <c r="E44" s="110"/>
      <c r="F44" s="192" t="str">
        <f t="shared" si="0"/>
        <v/>
      </c>
      <c r="G44" s="192" t="str">
        <f t="shared" si="0"/>
        <v/>
      </c>
      <c r="H44" s="191" t="str">
        <f t="shared" si="18"/>
        <v/>
      </c>
      <c r="I44" s="193" t="str">
        <f t="shared" si="19"/>
        <v/>
      </c>
      <c r="J44" s="208" t="str">
        <f t="shared" si="20"/>
        <v/>
      </c>
      <c r="K44" s="210" t="str">
        <f t="shared" si="21"/>
        <v/>
      </c>
      <c r="L44" s="189"/>
      <c r="M44" s="110"/>
      <c r="N44" s="117"/>
      <c r="O44" s="250">
        <f t="shared" si="22"/>
        <v>0</v>
      </c>
      <c r="P44" s="249">
        <f>IF('NW - M8'!D33=0,0,IF('NW - M8'!D33&gt;=0,'NW - M8'!D33))</f>
        <v>0</v>
      </c>
      <c r="Q44" s="206" t="str">
        <f t="shared" si="23"/>
        <v/>
      </c>
      <c r="R44" s="250">
        <f t="shared" si="24"/>
        <v>0</v>
      </c>
      <c r="S44" s="249">
        <f>IF('NW - M8'!F33=0,0,IF('NW - M8'!F33&gt;=0,'NW - M8'!F33))</f>
        <v>0</v>
      </c>
      <c r="T44" s="206" t="str">
        <f t="shared" si="25"/>
        <v/>
      </c>
      <c r="U44" s="250">
        <f t="shared" si="26"/>
        <v>0</v>
      </c>
      <c r="V44" s="249">
        <f>IF('NW - M8'!E33=0,0,IF('NW - M8'!E33&gt;=0,'NW - M8'!E33))</f>
        <v>0</v>
      </c>
      <c r="W44" s="206" t="str">
        <f t="shared" si="27"/>
        <v/>
      </c>
      <c r="X44" s="250">
        <f t="shared" si="28"/>
        <v>0</v>
      </c>
      <c r="Y44" s="249">
        <f>IF('NW - M8'!I33=0,0,IF('NW - M8'!I33&gt;=0,'NW - M8'!I33))</f>
        <v>0</v>
      </c>
      <c r="Z44" s="206" t="str">
        <f t="shared" si="29"/>
        <v/>
      </c>
      <c r="AA44" s="250">
        <f t="shared" si="30"/>
        <v>0</v>
      </c>
      <c r="AB44" s="249">
        <f>IF('NW - M8'!H33=0,0,IF('NW - M8'!H33&gt;=0,'NW - M8'!H33))</f>
        <v>0</v>
      </c>
      <c r="AC44" s="206" t="str">
        <f t="shared" si="31"/>
        <v/>
      </c>
      <c r="AD44" s="1" t="str">
        <f t="shared" si="32"/>
        <v/>
      </c>
      <c r="AE44" s="1" t="str">
        <f t="shared" si="33"/>
        <v/>
      </c>
      <c r="AF44" s="1" t="str">
        <f t="shared" si="34"/>
        <v/>
      </c>
      <c r="AG44" s="1" t="str">
        <f t="shared" si="35"/>
        <v/>
      </c>
      <c r="AH44" s="1" t="str">
        <f t="shared" si="36"/>
        <v/>
      </c>
      <c r="AI44" s="1">
        <f t="shared" si="1"/>
        <v>0</v>
      </c>
      <c r="AJ44" s="106" t="b">
        <f t="shared" si="2"/>
        <v>0</v>
      </c>
      <c r="AK44" s="106" t="b">
        <f t="shared" si="3"/>
        <v>0</v>
      </c>
      <c r="AL44" s="106" t="b">
        <f t="shared" si="4"/>
        <v>0</v>
      </c>
      <c r="AM44" s="106" t="b">
        <f t="shared" si="5"/>
        <v>0</v>
      </c>
      <c r="AN44" s="106" t="b">
        <f t="shared" si="6"/>
        <v>0</v>
      </c>
      <c r="AO44" s="106" t="b">
        <f t="shared" si="37"/>
        <v>0</v>
      </c>
      <c r="AP44" s="106" t="b">
        <f t="shared" si="7"/>
        <v>0</v>
      </c>
      <c r="AQ44" s="106" t="b">
        <f t="shared" si="8"/>
        <v>0</v>
      </c>
      <c r="AR44" s="106" t="b">
        <f t="shared" si="9"/>
        <v>0</v>
      </c>
      <c r="AS44" s="106" t="b">
        <f t="shared" si="10"/>
        <v>0</v>
      </c>
      <c r="AT44" s="148" t="str">
        <f t="shared" si="38"/>
        <v/>
      </c>
      <c r="AU44" s="198" t="e">
        <f t="shared" si="39"/>
        <v>#VALUE!</v>
      </c>
      <c r="AV44" s="204" t="str">
        <f t="shared" si="40"/>
        <v/>
      </c>
      <c r="AW44" s="107" t="str">
        <f t="shared" si="11"/>
        <v/>
      </c>
      <c r="AX44" s="119" t="b">
        <f>IF($J$1=5,3,IF($J$1="5A",3,IF($J$1="5B",3,IF($J$1="5C",3))))</f>
        <v>0</v>
      </c>
      <c r="AY44" s="109" t="str">
        <f t="shared" si="12"/>
        <v/>
      </c>
      <c r="AZ44" s="110"/>
      <c r="BA44" s="111" t="str">
        <f t="shared" si="13"/>
        <v/>
      </c>
      <c r="BB44" s="112"/>
      <c r="BC44" s="113" t="str">
        <f t="shared" si="14"/>
        <v/>
      </c>
      <c r="BD44" s="114">
        <f t="shared" si="15"/>
        <v>0</v>
      </c>
      <c r="BE44" s="118"/>
      <c r="BF44" s="113" t="str">
        <f t="shared" si="16"/>
        <v/>
      </c>
      <c r="BG44" s="116">
        <f t="shared" si="17"/>
        <v>0</v>
      </c>
    </row>
    <row r="45" spans="1:59" ht="15" customHeight="1" x14ac:dyDescent="0.2">
      <c r="A45">
        <v>29</v>
      </c>
      <c r="B45" s="187">
        <f>BEGINBLAD!B34</f>
        <v>0</v>
      </c>
      <c r="C45" s="110" t="str">
        <f>IF('RIO - E7'!C45="","",IF('RIO - E7'!C45&gt;"",'RIO - E7'!C45))</f>
        <v/>
      </c>
      <c r="D45" s="149" t="str">
        <f>IF('NW - M8'!N34="","",IF('NW - M8'!N34="A+","A",IF('NW - M8'!N34="A","A",IF('NW - M8'!N34="B","B",IF('NW - M8'!N34="C","C",IF('NW - M8'!N34="C-","C",IF('NW - M8'!N34="D","D",IF('NW - M8'!N34="E","E"))))))))</f>
        <v/>
      </c>
      <c r="E45" s="110"/>
      <c r="F45" s="192" t="str">
        <f t="shared" si="0"/>
        <v/>
      </c>
      <c r="G45" s="192" t="str">
        <f t="shared" si="0"/>
        <v/>
      </c>
      <c r="H45" s="191" t="str">
        <f t="shared" si="18"/>
        <v/>
      </c>
      <c r="I45" s="193" t="str">
        <f t="shared" si="19"/>
        <v/>
      </c>
      <c r="J45" s="208" t="str">
        <f t="shared" si="20"/>
        <v/>
      </c>
      <c r="K45" s="210" t="str">
        <f t="shared" si="21"/>
        <v/>
      </c>
      <c r="L45" s="189"/>
      <c r="M45" s="110"/>
      <c r="N45" s="117"/>
      <c r="O45" s="250">
        <f t="shared" si="22"/>
        <v>0</v>
      </c>
      <c r="P45" s="249">
        <f>IF('NW - M8'!D34=0,0,IF('NW - M8'!D34&gt;=0,'NW - M8'!D34))</f>
        <v>0</v>
      </c>
      <c r="Q45" s="206" t="str">
        <f t="shared" si="23"/>
        <v/>
      </c>
      <c r="R45" s="250">
        <f t="shared" si="24"/>
        <v>0</v>
      </c>
      <c r="S45" s="249">
        <f>IF('NW - M8'!F34=0,0,IF('NW - M8'!F34&gt;=0,'NW - M8'!F34))</f>
        <v>0</v>
      </c>
      <c r="T45" s="206" t="str">
        <f t="shared" si="25"/>
        <v/>
      </c>
      <c r="U45" s="250">
        <f t="shared" si="26"/>
        <v>0</v>
      </c>
      <c r="V45" s="249">
        <f>IF('NW - M8'!E34=0,0,IF('NW - M8'!E34&gt;=0,'NW - M8'!E34))</f>
        <v>0</v>
      </c>
      <c r="W45" s="206" t="str">
        <f t="shared" si="27"/>
        <v/>
      </c>
      <c r="X45" s="250">
        <f t="shared" si="28"/>
        <v>0</v>
      </c>
      <c r="Y45" s="249">
        <f>IF('NW - M8'!I34=0,0,IF('NW - M8'!I34&gt;=0,'NW - M8'!I34))</f>
        <v>0</v>
      </c>
      <c r="Z45" s="206" t="str">
        <f t="shared" si="29"/>
        <v/>
      </c>
      <c r="AA45" s="250">
        <f t="shared" si="30"/>
        <v>0</v>
      </c>
      <c r="AB45" s="249">
        <f>IF('NW - M8'!H34=0,0,IF('NW - M8'!H34&gt;=0,'NW - M8'!H34))</f>
        <v>0</v>
      </c>
      <c r="AC45" s="206" t="str">
        <f t="shared" si="31"/>
        <v/>
      </c>
      <c r="AD45" s="1" t="str">
        <f t="shared" si="32"/>
        <v/>
      </c>
      <c r="AE45" s="1" t="str">
        <f t="shared" si="33"/>
        <v/>
      </c>
      <c r="AF45" s="1" t="str">
        <f t="shared" si="34"/>
        <v/>
      </c>
      <c r="AG45" s="1" t="str">
        <f t="shared" si="35"/>
        <v/>
      </c>
      <c r="AH45" s="1" t="str">
        <f t="shared" si="36"/>
        <v/>
      </c>
      <c r="AI45" s="1">
        <f t="shared" si="1"/>
        <v>0</v>
      </c>
      <c r="AJ45" s="106" t="b">
        <f t="shared" si="2"/>
        <v>0</v>
      </c>
      <c r="AK45" s="106" t="b">
        <f t="shared" si="3"/>
        <v>0</v>
      </c>
      <c r="AL45" s="106" t="b">
        <f t="shared" si="4"/>
        <v>0</v>
      </c>
      <c r="AM45" s="106" t="b">
        <f t="shared" si="5"/>
        <v>0</v>
      </c>
      <c r="AN45" s="106" t="b">
        <f t="shared" si="6"/>
        <v>0</v>
      </c>
      <c r="AO45" s="106" t="b">
        <f t="shared" si="37"/>
        <v>0</v>
      </c>
      <c r="AP45" s="106" t="b">
        <f t="shared" si="7"/>
        <v>0</v>
      </c>
      <c r="AQ45" s="106" t="b">
        <f t="shared" si="8"/>
        <v>0</v>
      </c>
      <c r="AR45" s="106" t="b">
        <f t="shared" si="9"/>
        <v>0</v>
      </c>
      <c r="AS45" s="106" t="b">
        <f t="shared" si="10"/>
        <v>0</v>
      </c>
      <c r="AT45" s="148" t="str">
        <f t="shared" si="38"/>
        <v/>
      </c>
      <c r="AU45" s="198" t="e">
        <f t="shared" si="39"/>
        <v>#VALUE!</v>
      </c>
      <c r="AV45" s="204" t="str">
        <f t="shared" si="40"/>
        <v/>
      </c>
      <c r="AW45" s="107" t="str">
        <f t="shared" si="11"/>
        <v/>
      </c>
      <c r="AX45" s="119" t="b">
        <f>IF($J$1=6,4,IF($J$1="6A",4,IF($J$1="6B",4,IF($J$1="6C",4))))</f>
        <v>0</v>
      </c>
      <c r="AY45" s="109" t="str">
        <f t="shared" si="12"/>
        <v/>
      </c>
      <c r="AZ45" s="110"/>
      <c r="BA45" s="111" t="str">
        <f t="shared" si="13"/>
        <v/>
      </c>
      <c r="BB45" s="112"/>
      <c r="BC45" s="113" t="str">
        <f t="shared" si="14"/>
        <v/>
      </c>
      <c r="BD45" s="114">
        <f t="shared" si="15"/>
        <v>0</v>
      </c>
      <c r="BE45" s="118"/>
      <c r="BF45" s="113" t="str">
        <f t="shared" si="16"/>
        <v/>
      </c>
      <c r="BG45" s="116">
        <f t="shared" si="17"/>
        <v>0</v>
      </c>
    </row>
    <row r="46" spans="1:59" ht="15" customHeight="1" x14ac:dyDescent="0.2">
      <c r="A46">
        <v>30</v>
      </c>
      <c r="B46" s="187">
        <f>BEGINBLAD!B35</f>
        <v>0</v>
      </c>
      <c r="C46" s="110" t="str">
        <f>IF('RIO - E7'!C46="","",IF('RIO - E7'!C46&gt;"",'RIO - E7'!C46))</f>
        <v/>
      </c>
      <c r="D46" s="149" t="str">
        <f>IF('NW - M8'!N35="","",IF('NW - M8'!N35="A+","A",IF('NW - M8'!N35="A","A",IF('NW - M8'!N35="B","B",IF('NW - M8'!N35="C","C",IF('NW - M8'!N35="C-","C",IF('NW - M8'!N35="D","D",IF('NW - M8'!N35="E","E"))))))))</f>
        <v/>
      </c>
      <c r="E46" s="110"/>
      <c r="F46" s="192" t="str">
        <f t="shared" si="0"/>
        <v/>
      </c>
      <c r="G46" s="192" t="str">
        <f t="shared" si="0"/>
        <v/>
      </c>
      <c r="H46" s="191" t="str">
        <f t="shared" si="18"/>
        <v/>
      </c>
      <c r="I46" s="193" t="str">
        <f t="shared" si="19"/>
        <v/>
      </c>
      <c r="J46" s="208" t="str">
        <f t="shared" si="20"/>
        <v/>
      </c>
      <c r="K46" s="210" t="str">
        <f t="shared" si="21"/>
        <v/>
      </c>
      <c r="L46" s="189"/>
      <c r="M46" s="110"/>
      <c r="N46" s="117"/>
      <c r="O46" s="250">
        <f t="shared" si="22"/>
        <v>0</v>
      </c>
      <c r="P46" s="249">
        <f>IF('NW - M8'!D35=0,0,IF('NW - M8'!D35&gt;=0,'NW - M8'!D35))</f>
        <v>0</v>
      </c>
      <c r="Q46" s="206" t="str">
        <f t="shared" si="23"/>
        <v/>
      </c>
      <c r="R46" s="250">
        <f t="shared" si="24"/>
        <v>0</v>
      </c>
      <c r="S46" s="249">
        <f>IF('NW - M8'!F35=0,0,IF('NW - M8'!F35&gt;=0,'NW - M8'!F35))</f>
        <v>0</v>
      </c>
      <c r="T46" s="206" t="str">
        <f t="shared" si="25"/>
        <v/>
      </c>
      <c r="U46" s="250">
        <f t="shared" si="26"/>
        <v>0</v>
      </c>
      <c r="V46" s="249">
        <f>IF('NW - M8'!E35=0,0,IF('NW - M8'!E35&gt;=0,'NW - M8'!E35))</f>
        <v>0</v>
      </c>
      <c r="W46" s="206" t="str">
        <f t="shared" si="27"/>
        <v/>
      </c>
      <c r="X46" s="250">
        <f t="shared" si="28"/>
        <v>0</v>
      </c>
      <c r="Y46" s="249">
        <f>IF('NW - M8'!I35=0,0,IF('NW - M8'!I35&gt;=0,'NW - M8'!I35))</f>
        <v>0</v>
      </c>
      <c r="Z46" s="206" t="str">
        <f t="shared" si="29"/>
        <v/>
      </c>
      <c r="AA46" s="250">
        <f t="shared" si="30"/>
        <v>0</v>
      </c>
      <c r="AB46" s="249">
        <f>IF('NW - M8'!H35=0,0,IF('NW - M8'!H35&gt;=0,'NW - M8'!H35))</f>
        <v>0</v>
      </c>
      <c r="AC46" s="206" t="str">
        <f t="shared" si="31"/>
        <v/>
      </c>
      <c r="AD46" s="1" t="str">
        <f t="shared" si="32"/>
        <v/>
      </c>
      <c r="AE46" s="1" t="str">
        <f t="shared" si="33"/>
        <v/>
      </c>
      <c r="AF46" s="1" t="str">
        <f t="shared" si="34"/>
        <v/>
      </c>
      <c r="AG46" s="1" t="str">
        <f t="shared" si="35"/>
        <v/>
      </c>
      <c r="AH46" s="1" t="str">
        <f t="shared" si="36"/>
        <v/>
      </c>
      <c r="AI46" s="1">
        <f t="shared" si="1"/>
        <v>0</v>
      </c>
      <c r="AJ46" s="106" t="b">
        <f t="shared" si="2"/>
        <v>0</v>
      </c>
      <c r="AK46" s="106" t="b">
        <f t="shared" si="3"/>
        <v>0</v>
      </c>
      <c r="AL46" s="106" t="b">
        <f t="shared" si="4"/>
        <v>0</v>
      </c>
      <c r="AM46" s="106" t="b">
        <f t="shared" si="5"/>
        <v>0</v>
      </c>
      <c r="AN46" s="106" t="b">
        <f t="shared" si="6"/>
        <v>0</v>
      </c>
      <c r="AO46" s="106" t="b">
        <f t="shared" si="37"/>
        <v>0</v>
      </c>
      <c r="AP46" s="106" t="b">
        <f t="shared" si="7"/>
        <v>0</v>
      </c>
      <c r="AQ46" s="106" t="b">
        <f t="shared" si="8"/>
        <v>0</v>
      </c>
      <c r="AR46" s="106" t="b">
        <f t="shared" si="9"/>
        <v>0</v>
      </c>
      <c r="AS46" s="106" t="b">
        <f t="shared" si="10"/>
        <v>0</v>
      </c>
      <c r="AT46" s="148" t="str">
        <f t="shared" si="38"/>
        <v/>
      </c>
      <c r="AU46" s="198" t="e">
        <f t="shared" si="39"/>
        <v>#VALUE!</v>
      </c>
      <c r="AV46" s="204" t="str">
        <f t="shared" si="40"/>
        <v/>
      </c>
      <c r="AW46" s="107" t="str">
        <f t="shared" si="11"/>
        <v/>
      </c>
      <c r="AX46" s="119" t="b">
        <f>IF($J$1=7,5,IF($J$1="7A",5,IF($J$1="7B",5,IF($J$1="7C",5))))</f>
        <v>0</v>
      </c>
      <c r="AY46" s="109" t="str">
        <f t="shared" si="12"/>
        <v/>
      </c>
      <c r="AZ46" s="110"/>
      <c r="BA46" s="111" t="str">
        <f t="shared" si="13"/>
        <v/>
      </c>
      <c r="BB46" s="112"/>
      <c r="BC46" s="113" t="str">
        <f t="shared" si="14"/>
        <v/>
      </c>
      <c r="BD46" s="114">
        <f t="shared" si="15"/>
        <v>0</v>
      </c>
      <c r="BE46" s="118"/>
      <c r="BF46" s="113" t="str">
        <f t="shared" si="16"/>
        <v/>
      </c>
      <c r="BG46" s="116">
        <f t="shared" si="17"/>
        <v>0</v>
      </c>
    </row>
    <row r="47" spans="1:59" ht="15" customHeight="1" x14ac:dyDescent="0.2">
      <c r="A47">
        <v>31</v>
      </c>
      <c r="B47" s="187">
        <f>BEGINBLAD!B36</f>
        <v>0</v>
      </c>
      <c r="C47" s="110" t="str">
        <f>IF('RIO - E7'!C47="","",IF('RIO - E7'!C47&gt;"",'RIO - E7'!C47))</f>
        <v/>
      </c>
      <c r="D47" s="149" t="str">
        <f>IF('NW - M8'!N36="","",IF('NW - M8'!N36="A+","A",IF('NW - M8'!N36="A","A",IF('NW - M8'!N36="B","B",IF('NW - M8'!N36="C","C",IF('NW - M8'!N36="C-","C",IF('NW - M8'!N36="D","D",IF('NW - M8'!N36="E","E"))))))))</f>
        <v/>
      </c>
      <c r="E47" s="110"/>
      <c r="F47" s="192" t="str">
        <f t="shared" si="0"/>
        <v/>
      </c>
      <c r="G47" s="192" t="str">
        <f t="shared" si="0"/>
        <v/>
      </c>
      <c r="H47" s="191" t="str">
        <f t="shared" si="18"/>
        <v/>
      </c>
      <c r="I47" s="193" t="str">
        <f t="shared" si="19"/>
        <v/>
      </c>
      <c r="J47" s="208" t="str">
        <f t="shared" si="20"/>
        <v/>
      </c>
      <c r="K47" s="210" t="str">
        <f t="shared" si="21"/>
        <v/>
      </c>
      <c r="L47" s="189"/>
      <c r="M47" s="110"/>
      <c r="N47" s="117"/>
      <c r="O47" s="250">
        <f t="shared" si="22"/>
        <v>0</v>
      </c>
      <c r="P47" s="249">
        <f>IF('NW - M8'!D36=0,0,IF('NW - M8'!D36&gt;=0,'NW - M8'!D36))</f>
        <v>0</v>
      </c>
      <c r="Q47" s="206" t="str">
        <f t="shared" si="23"/>
        <v/>
      </c>
      <c r="R47" s="250">
        <f t="shared" si="24"/>
        <v>0</v>
      </c>
      <c r="S47" s="249">
        <f>IF('NW - M8'!F36=0,0,IF('NW - M8'!F36&gt;=0,'NW - M8'!F36))</f>
        <v>0</v>
      </c>
      <c r="T47" s="206" t="str">
        <f t="shared" si="25"/>
        <v/>
      </c>
      <c r="U47" s="250">
        <f t="shared" si="26"/>
        <v>0</v>
      </c>
      <c r="V47" s="249">
        <f>IF('NW - M8'!E36=0,0,IF('NW - M8'!E36&gt;=0,'NW - M8'!E36))</f>
        <v>0</v>
      </c>
      <c r="W47" s="206" t="str">
        <f t="shared" si="27"/>
        <v/>
      </c>
      <c r="X47" s="250">
        <f t="shared" si="28"/>
        <v>0</v>
      </c>
      <c r="Y47" s="249">
        <f>IF('NW - M8'!I36=0,0,IF('NW - M8'!I36&gt;=0,'NW - M8'!I36))</f>
        <v>0</v>
      </c>
      <c r="Z47" s="206" t="str">
        <f t="shared" si="29"/>
        <v/>
      </c>
      <c r="AA47" s="250">
        <f t="shared" si="30"/>
        <v>0</v>
      </c>
      <c r="AB47" s="249">
        <f>IF('NW - M8'!H36=0,0,IF('NW - M8'!H36&gt;=0,'NW - M8'!H36))</f>
        <v>0</v>
      </c>
      <c r="AC47" s="206" t="str">
        <f t="shared" si="31"/>
        <v/>
      </c>
      <c r="AD47" s="1" t="str">
        <f t="shared" si="32"/>
        <v/>
      </c>
      <c r="AE47" s="1" t="str">
        <f t="shared" si="33"/>
        <v/>
      </c>
      <c r="AF47" s="1" t="str">
        <f t="shared" si="34"/>
        <v/>
      </c>
      <c r="AG47" s="1" t="str">
        <f t="shared" si="35"/>
        <v/>
      </c>
      <c r="AH47" s="1" t="str">
        <f t="shared" si="36"/>
        <v/>
      </c>
      <c r="AI47" s="1">
        <f t="shared" si="1"/>
        <v>0</v>
      </c>
      <c r="AJ47" s="106" t="b">
        <f t="shared" si="2"/>
        <v>0</v>
      </c>
      <c r="AK47" s="106" t="b">
        <f t="shared" si="3"/>
        <v>0</v>
      </c>
      <c r="AL47" s="106" t="b">
        <f t="shared" si="4"/>
        <v>0</v>
      </c>
      <c r="AM47" s="106" t="b">
        <f t="shared" si="5"/>
        <v>0</v>
      </c>
      <c r="AN47" s="106" t="b">
        <f t="shared" si="6"/>
        <v>0</v>
      </c>
      <c r="AO47" s="106" t="b">
        <f t="shared" si="37"/>
        <v>0</v>
      </c>
      <c r="AP47" s="106" t="b">
        <f t="shared" si="7"/>
        <v>0</v>
      </c>
      <c r="AQ47" s="106" t="b">
        <f t="shared" si="8"/>
        <v>0</v>
      </c>
      <c r="AR47" s="106" t="b">
        <f t="shared" si="9"/>
        <v>0</v>
      </c>
      <c r="AS47" s="106" t="b">
        <f t="shared" si="10"/>
        <v>0</v>
      </c>
      <c r="AT47" s="148" t="str">
        <f t="shared" si="38"/>
        <v/>
      </c>
      <c r="AU47" s="198" t="e">
        <f t="shared" si="39"/>
        <v>#VALUE!</v>
      </c>
      <c r="AV47" s="204" t="str">
        <f t="shared" si="40"/>
        <v/>
      </c>
      <c r="AW47" s="107" t="str">
        <f t="shared" si="11"/>
        <v/>
      </c>
      <c r="AX47" s="119">
        <f>IF($J$1=8,6,IF($J$1="8A",6,IF($J$1="8B",6,IF($J$1="8C",6))))</f>
        <v>6</v>
      </c>
      <c r="AY47" s="109" t="str">
        <f t="shared" si="12"/>
        <v/>
      </c>
      <c r="AZ47" s="110"/>
      <c r="BA47" s="111" t="str">
        <f t="shared" si="13"/>
        <v/>
      </c>
      <c r="BB47" s="112"/>
      <c r="BC47" s="113" t="str">
        <f t="shared" si="14"/>
        <v/>
      </c>
      <c r="BD47" s="114">
        <f t="shared" si="15"/>
        <v>0</v>
      </c>
      <c r="BE47" s="118"/>
      <c r="BF47" s="113" t="str">
        <f t="shared" si="16"/>
        <v/>
      </c>
      <c r="BG47" s="116">
        <f t="shared" si="17"/>
        <v>0</v>
      </c>
    </row>
    <row r="48" spans="1:59" ht="15" customHeight="1" x14ac:dyDescent="0.2">
      <c r="A48">
        <v>32</v>
      </c>
      <c r="B48" s="187">
        <f>BEGINBLAD!B37</f>
        <v>0</v>
      </c>
      <c r="C48" s="110" t="str">
        <f>IF('RIO - E7'!C48="","",IF('RIO - E7'!C48&gt;"",'RIO - E7'!C48))</f>
        <v/>
      </c>
      <c r="D48" s="149" t="str">
        <f>IF('NW - M8'!N37="","",IF('NW - M8'!N37="A+","A",IF('NW - M8'!N37="A","A",IF('NW - M8'!N37="B","B",IF('NW - M8'!N37="C","C",IF('NW - M8'!N37="C-","C",IF('NW - M8'!N37="D","D",IF('NW - M8'!N37="E","E"))))))))</f>
        <v/>
      </c>
      <c r="E48" s="110"/>
      <c r="F48" s="192" t="str">
        <f t="shared" si="0"/>
        <v/>
      </c>
      <c r="G48" s="192" t="str">
        <f t="shared" si="0"/>
        <v/>
      </c>
      <c r="H48" s="191" t="str">
        <f t="shared" si="18"/>
        <v/>
      </c>
      <c r="I48" s="193" t="str">
        <f t="shared" si="19"/>
        <v/>
      </c>
      <c r="J48" s="208" t="str">
        <f t="shared" si="20"/>
        <v/>
      </c>
      <c r="K48" s="210" t="str">
        <f t="shared" si="21"/>
        <v/>
      </c>
      <c r="L48" s="189"/>
      <c r="M48" s="110"/>
      <c r="N48" s="117"/>
      <c r="O48" s="250">
        <f t="shared" si="22"/>
        <v>0</v>
      </c>
      <c r="P48" s="249">
        <f>IF('NW - M8'!D37=0,0,IF('NW - M8'!D37&gt;=0,'NW - M8'!D37))</f>
        <v>0</v>
      </c>
      <c r="Q48" s="206" t="str">
        <f t="shared" si="23"/>
        <v/>
      </c>
      <c r="R48" s="250">
        <f t="shared" si="24"/>
        <v>0</v>
      </c>
      <c r="S48" s="249">
        <f>IF('NW - M8'!F37=0,0,IF('NW - M8'!F37&gt;=0,'NW - M8'!F37))</f>
        <v>0</v>
      </c>
      <c r="T48" s="206" t="str">
        <f t="shared" si="25"/>
        <v/>
      </c>
      <c r="U48" s="250">
        <f t="shared" si="26"/>
        <v>0</v>
      </c>
      <c r="V48" s="249">
        <f>IF('NW - M8'!E37=0,0,IF('NW - M8'!E37&gt;=0,'NW - M8'!E37))</f>
        <v>0</v>
      </c>
      <c r="W48" s="206" t="str">
        <f t="shared" si="27"/>
        <v/>
      </c>
      <c r="X48" s="250">
        <f t="shared" si="28"/>
        <v>0</v>
      </c>
      <c r="Y48" s="249">
        <f>IF('NW - M8'!I37=0,0,IF('NW - M8'!I37&gt;=0,'NW - M8'!I37))</f>
        <v>0</v>
      </c>
      <c r="Z48" s="206" t="str">
        <f t="shared" si="29"/>
        <v/>
      </c>
      <c r="AA48" s="250">
        <f t="shared" si="30"/>
        <v>0</v>
      </c>
      <c r="AB48" s="249">
        <f>IF('NW - M8'!H37=0,0,IF('NW - M8'!H37&gt;=0,'NW - M8'!H37))</f>
        <v>0</v>
      </c>
      <c r="AC48" s="206" t="str">
        <f t="shared" si="31"/>
        <v/>
      </c>
      <c r="AD48" s="1" t="str">
        <f t="shared" si="32"/>
        <v/>
      </c>
      <c r="AE48" s="1" t="str">
        <f t="shared" si="33"/>
        <v/>
      </c>
      <c r="AF48" s="1" t="str">
        <f t="shared" si="34"/>
        <v/>
      </c>
      <c r="AG48" s="1" t="str">
        <f t="shared" si="35"/>
        <v/>
      </c>
      <c r="AH48" s="1" t="str">
        <f t="shared" si="36"/>
        <v/>
      </c>
      <c r="AI48" s="1">
        <f t="shared" si="1"/>
        <v>0</v>
      </c>
      <c r="AJ48" s="106" t="b">
        <f t="shared" si="2"/>
        <v>0</v>
      </c>
      <c r="AK48" s="106" t="b">
        <f t="shared" si="3"/>
        <v>0</v>
      </c>
      <c r="AL48" s="106" t="b">
        <f t="shared" si="4"/>
        <v>0</v>
      </c>
      <c r="AM48" s="106" t="b">
        <f t="shared" si="5"/>
        <v>0</v>
      </c>
      <c r="AN48" s="106" t="b">
        <f t="shared" si="6"/>
        <v>0</v>
      </c>
      <c r="AO48" s="106" t="b">
        <f t="shared" si="37"/>
        <v>0</v>
      </c>
      <c r="AP48" s="106" t="b">
        <f t="shared" si="7"/>
        <v>0</v>
      </c>
      <c r="AQ48" s="106" t="b">
        <f t="shared" si="8"/>
        <v>0</v>
      </c>
      <c r="AR48" s="106" t="b">
        <f t="shared" si="9"/>
        <v>0</v>
      </c>
      <c r="AS48" s="106" t="b">
        <f t="shared" si="10"/>
        <v>0</v>
      </c>
      <c r="AT48" s="148" t="str">
        <f t="shared" si="38"/>
        <v/>
      </c>
      <c r="AU48" s="198" t="e">
        <f t="shared" si="39"/>
        <v>#VALUE!</v>
      </c>
      <c r="AV48" s="204" t="str">
        <f t="shared" si="40"/>
        <v/>
      </c>
      <c r="AW48" s="107" t="str">
        <f t="shared" si="11"/>
        <v/>
      </c>
      <c r="AX48" s="108"/>
      <c r="AY48" s="109" t="str">
        <f t="shared" si="12"/>
        <v/>
      </c>
      <c r="AZ48" s="110"/>
      <c r="BA48" s="111" t="str">
        <f t="shared" si="13"/>
        <v/>
      </c>
      <c r="BB48" s="112"/>
      <c r="BC48" s="113" t="str">
        <f t="shared" si="14"/>
        <v/>
      </c>
      <c r="BD48" s="114">
        <f t="shared" si="15"/>
        <v>0</v>
      </c>
      <c r="BE48" s="118"/>
      <c r="BF48" s="113" t="str">
        <f t="shared" si="16"/>
        <v/>
      </c>
      <c r="BG48" s="116">
        <f t="shared" si="17"/>
        <v>0</v>
      </c>
    </row>
    <row r="49" spans="1:59" ht="15" customHeight="1" x14ac:dyDescent="0.2">
      <c r="A49">
        <v>33</v>
      </c>
      <c r="B49" s="187">
        <f>BEGINBLAD!B38</f>
        <v>0</v>
      </c>
      <c r="C49" s="110" t="str">
        <f>IF('RIO - E7'!C49="","",IF('RIO - E7'!C49&gt;"",'RIO - E7'!C49))</f>
        <v/>
      </c>
      <c r="D49" s="149" t="str">
        <f>IF('NW - M8'!N38="","",IF('NW - M8'!N38="A+","A",IF('NW - M8'!N38="A","A",IF('NW - M8'!N38="B","B",IF('NW - M8'!N38="C","C",IF('NW - M8'!N38="C-","C",IF('NW - M8'!N38="D","D",IF('NW - M8'!N38="E","E"))))))))</f>
        <v/>
      </c>
      <c r="E49" s="110"/>
      <c r="F49" s="192" t="str">
        <f t="shared" si="0"/>
        <v/>
      </c>
      <c r="G49" s="192" t="str">
        <f t="shared" si="0"/>
        <v/>
      </c>
      <c r="H49" s="191" t="str">
        <f t="shared" si="18"/>
        <v/>
      </c>
      <c r="I49" s="193" t="str">
        <f t="shared" si="19"/>
        <v/>
      </c>
      <c r="J49" s="208" t="str">
        <f t="shared" si="20"/>
        <v/>
      </c>
      <c r="K49" s="210" t="str">
        <f t="shared" si="21"/>
        <v/>
      </c>
      <c r="L49" s="189"/>
      <c r="M49" s="110"/>
      <c r="N49" s="117"/>
      <c r="O49" s="250">
        <f t="shared" si="22"/>
        <v>0</v>
      </c>
      <c r="P49" s="249">
        <f>IF('NW - M8'!D38=0,0,IF('NW - M8'!D38&gt;=0,'NW - M8'!D38))</f>
        <v>0</v>
      </c>
      <c r="Q49" s="206" t="str">
        <f t="shared" si="23"/>
        <v/>
      </c>
      <c r="R49" s="250">
        <f t="shared" si="24"/>
        <v>0</v>
      </c>
      <c r="S49" s="249">
        <f>IF('NW - M8'!F38=0,0,IF('NW - M8'!F38&gt;=0,'NW - M8'!F38))</f>
        <v>0</v>
      </c>
      <c r="T49" s="206" t="str">
        <f t="shared" si="25"/>
        <v/>
      </c>
      <c r="U49" s="250">
        <f t="shared" si="26"/>
        <v>0</v>
      </c>
      <c r="V49" s="249">
        <f>IF('NW - M8'!E38=0,0,IF('NW - M8'!E38&gt;=0,'NW - M8'!E38))</f>
        <v>0</v>
      </c>
      <c r="W49" s="206" t="str">
        <f t="shared" si="27"/>
        <v/>
      </c>
      <c r="X49" s="250">
        <f t="shared" si="28"/>
        <v>0</v>
      </c>
      <c r="Y49" s="249">
        <f>IF('NW - M8'!I38=0,0,IF('NW - M8'!I38&gt;=0,'NW - M8'!I38))</f>
        <v>0</v>
      </c>
      <c r="Z49" s="206" t="str">
        <f t="shared" si="29"/>
        <v/>
      </c>
      <c r="AA49" s="250">
        <f t="shared" si="30"/>
        <v>0</v>
      </c>
      <c r="AB49" s="249">
        <f>IF('NW - M8'!H38=0,0,IF('NW - M8'!H38&gt;=0,'NW - M8'!H38))</f>
        <v>0</v>
      </c>
      <c r="AC49" s="206" t="str">
        <f t="shared" si="31"/>
        <v/>
      </c>
      <c r="AD49" s="1" t="str">
        <f t="shared" si="32"/>
        <v/>
      </c>
      <c r="AE49" s="1" t="str">
        <f t="shared" si="33"/>
        <v/>
      </c>
      <c r="AF49" s="1" t="str">
        <f t="shared" si="34"/>
        <v/>
      </c>
      <c r="AG49" s="1" t="str">
        <f t="shared" si="35"/>
        <v/>
      </c>
      <c r="AH49" s="1" t="str">
        <f t="shared" si="36"/>
        <v/>
      </c>
      <c r="AI49" s="1">
        <f t="shared" si="1"/>
        <v>0</v>
      </c>
      <c r="AJ49" s="106" t="b">
        <f t="shared" si="2"/>
        <v>0</v>
      </c>
      <c r="AK49" s="106" t="b">
        <f t="shared" si="3"/>
        <v>0</v>
      </c>
      <c r="AL49" s="106" t="b">
        <f t="shared" si="4"/>
        <v>0</v>
      </c>
      <c r="AM49" s="106" t="b">
        <f t="shared" si="5"/>
        <v>0</v>
      </c>
      <c r="AN49" s="106" t="b">
        <f t="shared" si="6"/>
        <v>0</v>
      </c>
      <c r="AO49" s="106" t="b">
        <f t="shared" si="37"/>
        <v>0</v>
      </c>
      <c r="AP49" s="106" t="b">
        <f t="shared" si="7"/>
        <v>0</v>
      </c>
      <c r="AQ49" s="106" t="b">
        <f t="shared" si="8"/>
        <v>0</v>
      </c>
      <c r="AR49" s="106" t="b">
        <f t="shared" si="9"/>
        <v>0</v>
      </c>
      <c r="AS49" s="106" t="b">
        <f t="shared" si="10"/>
        <v>0</v>
      </c>
      <c r="AT49" s="148" t="str">
        <f t="shared" si="38"/>
        <v/>
      </c>
      <c r="AU49" s="198" t="e">
        <f t="shared" si="39"/>
        <v>#VALUE!</v>
      </c>
      <c r="AV49" s="204" t="str">
        <f t="shared" si="40"/>
        <v/>
      </c>
      <c r="AW49" s="107" t="str">
        <f t="shared" si="11"/>
        <v/>
      </c>
      <c r="AX49" s="108"/>
      <c r="AY49" s="109" t="str">
        <f t="shared" si="12"/>
        <v/>
      </c>
      <c r="AZ49" s="110"/>
      <c r="BA49" s="111" t="str">
        <f t="shared" si="13"/>
        <v/>
      </c>
      <c r="BB49" s="112"/>
      <c r="BC49" s="113" t="str">
        <f t="shared" si="14"/>
        <v/>
      </c>
      <c r="BD49" s="114">
        <f t="shared" si="15"/>
        <v>0</v>
      </c>
      <c r="BE49" s="118"/>
      <c r="BF49" s="113" t="str">
        <f t="shared" si="16"/>
        <v/>
      </c>
      <c r="BG49" s="116">
        <f t="shared" si="17"/>
        <v>0</v>
      </c>
    </row>
    <row r="50" spans="1:59" ht="15" customHeight="1" x14ac:dyDescent="0.2">
      <c r="A50">
        <v>34</v>
      </c>
      <c r="B50" s="187">
        <f>BEGINBLAD!B39</f>
        <v>0</v>
      </c>
      <c r="C50" s="110" t="str">
        <f>IF('RIO - E7'!C50="","",IF('RIO - E7'!C50&gt;"",'RIO - E7'!C50))</f>
        <v/>
      </c>
      <c r="D50" s="149" t="str">
        <f>IF('NW - M8'!N39="","",IF('NW - M8'!N39="A+","A",IF('NW - M8'!N39="A","A",IF('NW - M8'!N39="B","B",IF('NW - M8'!N39="C","C",IF('NW - M8'!N39="C-","C",IF('NW - M8'!N39="D","D",IF('NW - M8'!N39="E","E"))))))))</f>
        <v/>
      </c>
      <c r="E50" s="110"/>
      <c r="F50" s="192" t="str">
        <f t="shared" si="0"/>
        <v/>
      </c>
      <c r="G50" s="192" t="str">
        <f t="shared" si="0"/>
        <v/>
      </c>
      <c r="H50" s="191" t="str">
        <f t="shared" si="18"/>
        <v/>
      </c>
      <c r="I50" s="193" t="str">
        <f t="shared" si="19"/>
        <v/>
      </c>
      <c r="J50" s="208" t="str">
        <f t="shared" si="20"/>
        <v/>
      </c>
      <c r="K50" s="210" t="str">
        <f t="shared" si="21"/>
        <v/>
      </c>
      <c r="L50" s="189"/>
      <c r="M50" s="120"/>
      <c r="N50" s="117"/>
      <c r="O50" s="250">
        <f t="shared" si="22"/>
        <v>0</v>
      </c>
      <c r="P50" s="249">
        <f>IF('NW - M8'!D39=0,0,IF('NW - M8'!D39&gt;=0,'NW - M8'!D39))</f>
        <v>0</v>
      </c>
      <c r="Q50" s="206" t="str">
        <f t="shared" si="23"/>
        <v/>
      </c>
      <c r="R50" s="250">
        <f t="shared" si="24"/>
        <v>0</v>
      </c>
      <c r="S50" s="249">
        <f>IF('NW - M8'!F39=0,0,IF('NW - M8'!F39&gt;=0,'NW - M8'!F39))</f>
        <v>0</v>
      </c>
      <c r="T50" s="206" t="str">
        <f t="shared" si="25"/>
        <v/>
      </c>
      <c r="U50" s="250">
        <f t="shared" si="26"/>
        <v>0</v>
      </c>
      <c r="V50" s="249">
        <f>IF('NW - M8'!E39=0,0,IF('NW - M8'!E39&gt;=0,'NW - M8'!E39))</f>
        <v>0</v>
      </c>
      <c r="W50" s="206" t="str">
        <f t="shared" si="27"/>
        <v/>
      </c>
      <c r="X50" s="250">
        <f t="shared" si="28"/>
        <v>0</v>
      </c>
      <c r="Y50" s="249">
        <f>IF('NW - M8'!I39=0,0,IF('NW - M8'!I39&gt;=0,'NW - M8'!I39))</f>
        <v>0</v>
      </c>
      <c r="Z50" s="206" t="str">
        <f t="shared" si="29"/>
        <v/>
      </c>
      <c r="AA50" s="250">
        <f t="shared" si="30"/>
        <v>0</v>
      </c>
      <c r="AB50" s="249">
        <f>IF('NW - M8'!H39=0,0,IF('NW - M8'!H39&gt;=0,'NW - M8'!H39))</f>
        <v>0</v>
      </c>
      <c r="AC50" s="206" t="str">
        <f t="shared" si="31"/>
        <v/>
      </c>
      <c r="AD50" s="1" t="str">
        <f t="shared" si="32"/>
        <v/>
      </c>
      <c r="AE50" s="1" t="str">
        <f t="shared" si="33"/>
        <v/>
      </c>
      <c r="AF50" s="1" t="str">
        <f t="shared" si="34"/>
        <v/>
      </c>
      <c r="AG50" s="1" t="str">
        <f t="shared" si="35"/>
        <v/>
      </c>
      <c r="AH50" s="1" t="str">
        <f t="shared" si="36"/>
        <v/>
      </c>
      <c r="AI50" s="1">
        <f t="shared" si="1"/>
        <v>0</v>
      </c>
      <c r="AJ50" s="106" t="b">
        <f t="shared" si="2"/>
        <v>0</v>
      </c>
      <c r="AK50" s="106" t="b">
        <f t="shared" si="3"/>
        <v>0</v>
      </c>
      <c r="AL50" s="106" t="b">
        <f t="shared" si="4"/>
        <v>0</v>
      </c>
      <c r="AM50" s="106" t="b">
        <f t="shared" si="5"/>
        <v>0</v>
      </c>
      <c r="AN50" s="106" t="b">
        <f t="shared" si="6"/>
        <v>0</v>
      </c>
      <c r="AO50" s="106" t="b">
        <f t="shared" si="37"/>
        <v>0</v>
      </c>
      <c r="AP50" s="106" t="b">
        <f t="shared" si="7"/>
        <v>0</v>
      </c>
      <c r="AQ50" s="106" t="b">
        <f t="shared" si="8"/>
        <v>0</v>
      </c>
      <c r="AR50" s="106" t="b">
        <f t="shared" si="9"/>
        <v>0</v>
      </c>
      <c r="AS50" s="106" t="b">
        <f t="shared" si="10"/>
        <v>0</v>
      </c>
      <c r="AT50" s="148" t="str">
        <f t="shared" si="38"/>
        <v/>
      </c>
      <c r="AU50" s="198" t="e">
        <f t="shared" si="39"/>
        <v>#VALUE!</v>
      </c>
      <c r="AV50" s="204" t="str">
        <f t="shared" si="40"/>
        <v/>
      </c>
      <c r="AW50" s="107" t="str">
        <f t="shared" si="11"/>
        <v/>
      </c>
      <c r="AX50" s="121"/>
      <c r="AY50" s="109" t="str">
        <f t="shared" si="12"/>
        <v/>
      </c>
      <c r="AZ50" s="110"/>
      <c r="BA50" s="111" t="str">
        <f t="shared" si="13"/>
        <v/>
      </c>
      <c r="BB50" s="112"/>
      <c r="BC50" s="113" t="str">
        <f t="shared" si="14"/>
        <v/>
      </c>
      <c r="BD50" s="114">
        <f t="shared" si="15"/>
        <v>0</v>
      </c>
      <c r="BE50" s="118"/>
      <c r="BF50" s="113" t="str">
        <f t="shared" si="16"/>
        <v/>
      </c>
      <c r="BG50" s="116">
        <f t="shared" si="17"/>
        <v>0</v>
      </c>
    </row>
    <row r="51" spans="1:59" ht="15" customHeight="1" x14ac:dyDescent="0.2">
      <c r="A51">
        <v>35</v>
      </c>
      <c r="B51" s="187">
        <f>BEGINBLAD!B40</f>
        <v>0</v>
      </c>
      <c r="C51" s="110" t="str">
        <f>IF('RIO - E7'!C51="","",IF('RIO - E7'!C51&gt;"",'RIO - E7'!C51))</f>
        <v/>
      </c>
      <c r="D51" s="149" t="str">
        <f>IF('NW - M8'!N40="","",IF('NW - M8'!N40="A+","A",IF('NW - M8'!N40="A","A",IF('NW - M8'!N40="B","B",IF('NW - M8'!N40="C","C",IF('NW - M8'!N40="C-","C",IF('NW - M8'!N40="D","D",IF('NW - M8'!N40="E","E"))))))))</f>
        <v/>
      </c>
      <c r="E51" s="110"/>
      <c r="F51" s="192" t="str">
        <f t="shared" si="0"/>
        <v/>
      </c>
      <c r="G51" s="192" t="str">
        <f t="shared" si="0"/>
        <v/>
      </c>
      <c r="H51" s="191" t="str">
        <f t="shared" si="18"/>
        <v/>
      </c>
      <c r="I51" s="193" t="str">
        <f t="shared" si="19"/>
        <v/>
      </c>
      <c r="J51" s="208" t="str">
        <f t="shared" si="20"/>
        <v/>
      </c>
      <c r="K51" s="210" t="str">
        <f t="shared" si="21"/>
        <v/>
      </c>
      <c r="L51" s="189"/>
      <c r="M51" s="120"/>
      <c r="N51" s="117"/>
      <c r="O51" s="250">
        <f t="shared" si="22"/>
        <v>0</v>
      </c>
      <c r="P51" s="249">
        <f>IF('NW - M8'!D40=0,0,IF('NW - M8'!D40&gt;=0,'NW - M8'!D40))</f>
        <v>0</v>
      </c>
      <c r="Q51" s="206" t="str">
        <f t="shared" si="23"/>
        <v/>
      </c>
      <c r="R51" s="250">
        <f t="shared" si="24"/>
        <v>0</v>
      </c>
      <c r="S51" s="249">
        <f>IF('NW - M8'!F40=0,0,IF('NW - M8'!F40&gt;=0,'NW - M8'!F40))</f>
        <v>0</v>
      </c>
      <c r="T51" s="206" t="str">
        <f t="shared" si="25"/>
        <v/>
      </c>
      <c r="U51" s="250">
        <f t="shared" si="26"/>
        <v>0</v>
      </c>
      <c r="V51" s="249">
        <f>IF('NW - M8'!E40=0,0,IF('NW - M8'!E40&gt;=0,'NW - M8'!E40))</f>
        <v>0</v>
      </c>
      <c r="W51" s="206" t="str">
        <f t="shared" si="27"/>
        <v/>
      </c>
      <c r="X51" s="250">
        <f t="shared" si="28"/>
        <v>0</v>
      </c>
      <c r="Y51" s="249">
        <f>IF('NW - M8'!I40=0,0,IF('NW - M8'!I40&gt;=0,'NW - M8'!I40))</f>
        <v>0</v>
      </c>
      <c r="Z51" s="206" t="str">
        <f t="shared" si="29"/>
        <v/>
      </c>
      <c r="AA51" s="250">
        <f t="shared" si="30"/>
        <v>0</v>
      </c>
      <c r="AB51" s="249">
        <f>IF('NW - M8'!H40=0,0,IF('NW - M8'!H40&gt;=0,'NW - M8'!H40))</f>
        <v>0</v>
      </c>
      <c r="AC51" s="206" t="str">
        <f t="shared" si="31"/>
        <v/>
      </c>
      <c r="AD51" s="1" t="str">
        <f t="shared" si="32"/>
        <v/>
      </c>
      <c r="AE51" s="1" t="str">
        <f t="shared" si="33"/>
        <v/>
      </c>
      <c r="AF51" s="1" t="str">
        <f t="shared" si="34"/>
        <v/>
      </c>
      <c r="AG51" s="1" t="str">
        <f t="shared" si="35"/>
        <v/>
      </c>
      <c r="AH51" s="1" t="str">
        <f t="shared" si="36"/>
        <v/>
      </c>
      <c r="AI51" s="1">
        <f t="shared" si="1"/>
        <v>0</v>
      </c>
      <c r="AJ51" s="106" t="b">
        <f t="shared" si="2"/>
        <v>0</v>
      </c>
      <c r="AK51" s="106" t="b">
        <f t="shared" si="3"/>
        <v>0</v>
      </c>
      <c r="AL51" s="106" t="b">
        <f t="shared" si="4"/>
        <v>0</v>
      </c>
      <c r="AM51" s="106" t="b">
        <f t="shared" si="5"/>
        <v>0</v>
      </c>
      <c r="AN51" s="106" t="b">
        <f t="shared" si="6"/>
        <v>0</v>
      </c>
      <c r="AO51" s="106" t="b">
        <f t="shared" si="37"/>
        <v>0</v>
      </c>
      <c r="AP51" s="106" t="b">
        <f t="shared" si="7"/>
        <v>0</v>
      </c>
      <c r="AQ51" s="106" t="b">
        <f t="shared" si="8"/>
        <v>0</v>
      </c>
      <c r="AR51" s="106" t="b">
        <f t="shared" si="9"/>
        <v>0</v>
      </c>
      <c r="AS51" s="106" t="b">
        <f t="shared" si="10"/>
        <v>0</v>
      </c>
      <c r="AT51" s="148" t="str">
        <f t="shared" si="38"/>
        <v/>
      </c>
      <c r="AU51" s="198" t="e">
        <f t="shared" si="39"/>
        <v>#VALUE!</v>
      </c>
      <c r="AV51" s="204" t="str">
        <f t="shared" si="40"/>
        <v/>
      </c>
      <c r="AW51" s="107" t="str">
        <f t="shared" si="11"/>
        <v/>
      </c>
      <c r="AX51" s="121"/>
      <c r="AY51" s="109" t="str">
        <f t="shared" si="12"/>
        <v/>
      </c>
      <c r="AZ51" s="110"/>
      <c r="BA51" s="111" t="str">
        <f t="shared" si="13"/>
        <v/>
      </c>
      <c r="BB51" s="112"/>
      <c r="BC51" s="113" t="str">
        <f t="shared" si="14"/>
        <v/>
      </c>
      <c r="BD51" s="114">
        <f t="shared" si="15"/>
        <v>0</v>
      </c>
      <c r="BE51" s="118"/>
      <c r="BF51" s="113" t="str">
        <f t="shared" si="16"/>
        <v/>
      </c>
      <c r="BG51" s="116">
        <f t="shared" si="17"/>
        <v>0</v>
      </c>
    </row>
    <row r="52" spans="1:59" ht="15" customHeight="1" thickBot="1" x14ac:dyDescent="0.25">
      <c r="A52">
        <v>36</v>
      </c>
      <c r="B52" s="187">
        <f>BEGINBLAD!B41</f>
        <v>0</v>
      </c>
      <c r="C52" s="110" t="str">
        <f>IF('RIO - M4'!C52="","",IF('RIO - M4'!C52&gt;"",'RIO - M4'!C52))</f>
        <v/>
      </c>
      <c r="D52" s="149" t="str">
        <f>IF('NW - M8'!N41="","",IF('NW - M8'!N41="A+","A",IF('NW - M8'!N41="A","A",IF('NW - M8'!N41="B","B",IF('NW - M8'!N41="C","C",IF('NW - M8'!N41="C-","C",IF('NW - M8'!N41="D","D",IF('NW - M8'!N41="E","E"))))))))</f>
        <v/>
      </c>
      <c r="E52" s="122"/>
      <c r="F52" s="194" t="str">
        <f t="shared" si="0"/>
        <v/>
      </c>
      <c r="G52" s="192" t="str">
        <f t="shared" si="0"/>
        <v/>
      </c>
      <c r="H52" s="195" t="str">
        <f t="shared" si="18"/>
        <v/>
      </c>
      <c r="I52" s="196" t="str">
        <f t="shared" si="19"/>
        <v/>
      </c>
      <c r="J52" s="209" t="str">
        <f t="shared" si="20"/>
        <v/>
      </c>
      <c r="K52" s="211" t="str">
        <f t="shared" si="21"/>
        <v/>
      </c>
      <c r="L52" s="190"/>
      <c r="M52" s="123"/>
      <c r="N52" s="124"/>
      <c r="O52" s="250">
        <f t="shared" si="22"/>
        <v>0</v>
      </c>
      <c r="P52" s="249">
        <f>IF('NW - M8'!D41=0,0,IF('NW - M8'!D41&gt;=0,'NW - M8'!D41))</f>
        <v>0</v>
      </c>
      <c r="Q52" s="207" t="str">
        <f t="shared" si="23"/>
        <v/>
      </c>
      <c r="R52" s="250">
        <f t="shared" si="24"/>
        <v>0</v>
      </c>
      <c r="S52" s="249">
        <f>IF('NW - M8'!F41=0,0,IF('NW - M8'!F41&gt;=0,'NW - M8'!F41))</f>
        <v>0</v>
      </c>
      <c r="T52" s="207" t="str">
        <f t="shared" si="25"/>
        <v/>
      </c>
      <c r="U52" s="250">
        <f t="shared" si="26"/>
        <v>0</v>
      </c>
      <c r="V52" s="249">
        <f>IF('NW - M8'!E41=0,0,IF('NW - M8'!E41&gt;=0,'NW - M8'!E41))</f>
        <v>0</v>
      </c>
      <c r="W52" s="207" t="str">
        <f t="shared" si="27"/>
        <v/>
      </c>
      <c r="X52" s="250">
        <f t="shared" si="28"/>
        <v>0</v>
      </c>
      <c r="Y52" s="249">
        <f>IF('NW - M8'!I41=0,0,IF('NW - M8'!I41&gt;=0,'NW - M8'!I41))</f>
        <v>0</v>
      </c>
      <c r="Z52" s="207" t="str">
        <f t="shared" si="29"/>
        <v/>
      </c>
      <c r="AA52" s="250">
        <f t="shared" si="30"/>
        <v>0</v>
      </c>
      <c r="AB52" s="249">
        <f>IF('NW - M8'!H41=0,0,IF('NW - M8'!H41&gt;=0,'NW - M8'!H41))</f>
        <v>0</v>
      </c>
      <c r="AC52" s="207" t="str">
        <f t="shared" si="31"/>
        <v/>
      </c>
      <c r="AD52" s="1" t="str">
        <f t="shared" si="32"/>
        <v/>
      </c>
      <c r="AE52" s="1" t="str">
        <f t="shared" si="33"/>
        <v/>
      </c>
      <c r="AF52" s="1" t="str">
        <f t="shared" si="34"/>
        <v/>
      </c>
      <c r="AG52" s="1" t="str">
        <f t="shared" si="35"/>
        <v/>
      </c>
      <c r="AH52" s="1" t="str">
        <f t="shared" si="36"/>
        <v/>
      </c>
      <c r="AI52" s="1">
        <f t="shared" si="1"/>
        <v>0</v>
      </c>
      <c r="AJ52" s="106" t="b">
        <f t="shared" si="2"/>
        <v>0</v>
      </c>
      <c r="AK52" s="106" t="b">
        <f t="shared" si="3"/>
        <v>0</v>
      </c>
      <c r="AL52" s="106" t="b">
        <f t="shared" si="4"/>
        <v>0</v>
      </c>
      <c r="AM52" s="106" t="b">
        <f t="shared" si="5"/>
        <v>0</v>
      </c>
      <c r="AN52" s="106" t="b">
        <f t="shared" si="6"/>
        <v>0</v>
      </c>
      <c r="AO52" s="106" t="b">
        <f t="shared" si="37"/>
        <v>0</v>
      </c>
      <c r="AP52" s="106" t="b">
        <f t="shared" si="7"/>
        <v>0</v>
      </c>
      <c r="AQ52" s="106" t="b">
        <f t="shared" si="8"/>
        <v>0</v>
      </c>
      <c r="AR52" s="106" t="b">
        <f t="shared" si="9"/>
        <v>0</v>
      </c>
      <c r="AS52" s="106" t="b">
        <f t="shared" si="10"/>
        <v>0</v>
      </c>
      <c r="AT52" s="148" t="str">
        <f t="shared" si="38"/>
        <v/>
      </c>
      <c r="AU52" s="198" t="e">
        <f t="shared" si="39"/>
        <v>#VALUE!</v>
      </c>
      <c r="AV52" s="205" t="str">
        <f t="shared" si="40"/>
        <v/>
      </c>
      <c r="AW52" s="107" t="str">
        <f t="shared" si="11"/>
        <v/>
      </c>
      <c r="AX52" s="121"/>
      <c r="AY52" s="109" t="str">
        <f t="shared" si="12"/>
        <v/>
      </c>
      <c r="AZ52" s="110"/>
      <c r="BA52" s="111" t="str">
        <f t="shared" si="13"/>
        <v/>
      </c>
      <c r="BB52" s="112"/>
      <c r="BC52" s="113" t="str">
        <f t="shared" si="14"/>
        <v/>
      </c>
      <c r="BD52" s="114">
        <f t="shared" si="15"/>
        <v>0</v>
      </c>
      <c r="BE52" s="125"/>
      <c r="BF52" s="113" t="str">
        <f t="shared" si="16"/>
        <v/>
      </c>
      <c r="BG52" s="116">
        <f t="shared" si="17"/>
        <v>0</v>
      </c>
    </row>
    <row r="53" spans="1:59" ht="15" customHeight="1" thickBot="1" x14ac:dyDescent="0.25">
      <c r="A53" t="s">
        <v>75</v>
      </c>
      <c r="B53" s="33">
        <f>36-B54</f>
        <v>3</v>
      </c>
      <c r="C53" s="341" t="s">
        <v>76</v>
      </c>
      <c r="D53" s="342"/>
      <c r="E53" s="342"/>
      <c r="F53" s="342"/>
      <c r="G53" s="342"/>
      <c r="H53" s="342"/>
      <c r="I53" s="342"/>
      <c r="J53" s="342"/>
      <c r="K53" s="342"/>
      <c r="L53" s="342"/>
      <c r="M53" s="342"/>
      <c r="N53" s="343"/>
      <c r="O53" s="347">
        <f>IF(AD53=0,0,IF(AD53&gt;0,AD54))</f>
        <v>1</v>
      </c>
      <c r="P53" s="348"/>
      <c r="Q53" s="349"/>
      <c r="R53" s="350">
        <f>IF(AE53=0,0,IF(AE53&gt;0,AE54))</f>
        <v>0</v>
      </c>
      <c r="S53" s="348"/>
      <c r="T53" s="349"/>
      <c r="U53" s="350">
        <f>IF(AF53=0,0,IF(AF53&gt;0,AF54))</f>
        <v>1</v>
      </c>
      <c r="V53" s="348"/>
      <c r="W53" s="351"/>
      <c r="X53" s="347">
        <f>IF(AG53=0,0,IF(AG53&gt;0,AG54))</f>
        <v>1</v>
      </c>
      <c r="Y53" s="348"/>
      <c r="Z53" s="349"/>
      <c r="AA53" s="350">
        <f>IF(AH53=0,0,IF(AH53&gt;0,AH54))</f>
        <v>1</v>
      </c>
      <c r="AB53" s="348"/>
      <c r="AC53" s="351"/>
      <c r="AD53" s="173">
        <f>SUM(AD17:AD52)</f>
        <v>1</v>
      </c>
      <c r="AE53" s="126">
        <f>SUM(AE17:AE52)</f>
        <v>0</v>
      </c>
      <c r="AF53" s="126">
        <f>SUM(AF17:AF52)</f>
        <v>1</v>
      </c>
      <c r="AG53" s="126">
        <f>SUM(AG17:AG52)</f>
        <v>1</v>
      </c>
      <c r="AH53" s="126">
        <f>SUM(AH17:AH52)</f>
        <v>1</v>
      </c>
      <c r="AI53" s="127">
        <f>SUM(AV17:AV52)</f>
        <v>0.8</v>
      </c>
      <c r="AJ53" s="127">
        <f t="shared" ref="AJ53:AS53" si="41">SUM(AJ17:AJ52)</f>
        <v>0</v>
      </c>
      <c r="AK53" s="127">
        <f t="shared" si="41"/>
        <v>0</v>
      </c>
      <c r="AL53" s="127">
        <f t="shared" si="41"/>
        <v>0.8</v>
      </c>
      <c r="AM53" s="127">
        <f t="shared" si="41"/>
        <v>0</v>
      </c>
      <c r="AN53" s="127">
        <f t="shared" si="41"/>
        <v>0</v>
      </c>
      <c r="AO53" s="127">
        <f t="shared" si="41"/>
        <v>0</v>
      </c>
      <c r="AP53" s="127">
        <f t="shared" si="41"/>
        <v>0</v>
      </c>
      <c r="AQ53" s="127">
        <f t="shared" si="41"/>
        <v>0</v>
      </c>
      <c r="AR53" s="127">
        <f t="shared" si="41"/>
        <v>0</v>
      </c>
      <c r="AS53" s="127">
        <f t="shared" si="41"/>
        <v>0</v>
      </c>
      <c r="AT53" s="146"/>
      <c r="AU53" s="147"/>
      <c r="AV53" s="128">
        <f>IF(AI53=0,"",IF(AI53&gt;0,$AI$54))</f>
        <v>0.26666666666666666</v>
      </c>
      <c r="AW53" s="129" t="str">
        <f>IF(AW54=0,"",IF(AW54&gt;0,AW54/AX54))</f>
        <v/>
      </c>
      <c r="AX53" s="1">
        <f>SUM(AX42:AX52)</f>
        <v>6</v>
      </c>
      <c r="AY53" s="130" t="str">
        <f>IF(L54=0,"",IF(L54&gt;0,AY54/L54))</f>
        <v/>
      </c>
      <c r="AZ53" s="131">
        <f>IF(B53=0,"",IF(B53&gt;0,AZ55/B53))</f>
        <v>1</v>
      </c>
      <c r="BA53" s="132"/>
      <c r="BB53" s="133" t="str">
        <f>IF(BD53=0,"",IF(BD53&gt;0,BD53/BB54))</f>
        <v/>
      </c>
      <c r="BC53" s="132"/>
      <c r="BD53" s="132">
        <f>SUM(BD17:BD52)</f>
        <v>0</v>
      </c>
      <c r="BE53" s="133" t="str">
        <f>IF(BG53=0,"",IF(BG53&gt;0,BG53/BE54))</f>
        <v/>
      </c>
      <c r="BF53" s="31"/>
      <c r="BG53" s="134">
        <f>SUM(BG17:BG52)</f>
        <v>0</v>
      </c>
    </row>
    <row r="54" spans="1:59" x14ac:dyDescent="0.2">
      <c r="B54" s="143">
        <f>COUNTIF(B17:B52,0)</f>
        <v>33</v>
      </c>
      <c r="C54" s="5"/>
      <c r="D54" s="5"/>
      <c r="E54" s="5"/>
      <c r="F54" s="5"/>
      <c r="G54" s="5"/>
      <c r="H54" s="5"/>
      <c r="I54" s="5"/>
      <c r="L54" s="5">
        <f>COUNTA(L17:L52)</f>
        <v>0</v>
      </c>
      <c r="M54" s="5">
        <f>COUNTA(M17:M52)</f>
        <v>0</v>
      </c>
      <c r="O54" s="332" t="s">
        <v>35</v>
      </c>
      <c r="P54" s="333"/>
      <c r="Q54" s="333"/>
      <c r="R54" s="333"/>
      <c r="S54" s="333"/>
      <c r="T54" s="333"/>
      <c r="U54" s="333"/>
      <c r="V54" s="333"/>
      <c r="W54" s="334"/>
      <c r="X54" s="338" t="s">
        <v>36</v>
      </c>
      <c r="Y54" s="339"/>
      <c r="Z54" s="339"/>
      <c r="AA54" s="339"/>
      <c r="AB54" s="339"/>
      <c r="AC54" s="340"/>
      <c r="AD54" s="135">
        <f t="shared" ref="AD54:AI54" si="42">AD53/AD56</f>
        <v>1</v>
      </c>
      <c r="AE54" s="135">
        <f t="shared" si="42"/>
        <v>0</v>
      </c>
      <c r="AF54" s="135">
        <f t="shared" si="42"/>
        <v>1</v>
      </c>
      <c r="AG54" s="135">
        <f t="shared" si="42"/>
        <v>1</v>
      </c>
      <c r="AH54" s="135">
        <f t="shared" si="42"/>
        <v>1</v>
      </c>
      <c r="AI54" s="135">
        <f t="shared" si="42"/>
        <v>0.26666666666666666</v>
      </c>
      <c r="AJ54" s="106">
        <f t="shared" ref="AJ54:AS54" si="43">AJ53/10</f>
        <v>0</v>
      </c>
      <c r="AK54" s="106">
        <f t="shared" si="43"/>
        <v>0</v>
      </c>
      <c r="AL54" s="106">
        <f t="shared" si="43"/>
        <v>0.08</v>
      </c>
      <c r="AM54" s="106">
        <f t="shared" si="43"/>
        <v>0</v>
      </c>
      <c r="AN54" s="106">
        <f t="shared" si="43"/>
        <v>0</v>
      </c>
      <c r="AO54" s="106">
        <f t="shared" si="43"/>
        <v>0</v>
      </c>
      <c r="AP54" s="106">
        <f t="shared" si="43"/>
        <v>0</v>
      </c>
      <c r="AQ54" s="106">
        <f t="shared" si="43"/>
        <v>0</v>
      </c>
      <c r="AR54" s="106">
        <f t="shared" si="43"/>
        <v>0</v>
      </c>
      <c r="AS54" s="106">
        <f t="shared" si="43"/>
        <v>0</v>
      </c>
      <c r="AT54" s="106"/>
      <c r="AU54" s="106"/>
      <c r="AV54" s="3"/>
      <c r="AW54" s="5">
        <f>COUNTIF(AW17:AW52,1)</f>
        <v>0</v>
      </c>
      <c r="AX54" s="3">
        <f>AX53*B54</f>
        <v>198</v>
      </c>
      <c r="AY54" s="136">
        <f>SUM(AY17:AY51)</f>
        <v>0</v>
      </c>
      <c r="AZ54" s="5">
        <f>COUNTA(AZ17:AZ52)</f>
        <v>0</v>
      </c>
      <c r="BA54" s="3"/>
      <c r="BB54" s="5">
        <f>COUNTA(BB17:BB52)</f>
        <v>0</v>
      </c>
      <c r="BC54" s="5"/>
      <c r="BD54" s="5"/>
      <c r="BE54" s="5">
        <f>COUNTA(BE17:BE52)</f>
        <v>0</v>
      </c>
      <c r="BF54" s="3"/>
      <c r="BG54" s="3"/>
    </row>
    <row r="55" spans="1:59" ht="13.5" thickBot="1" x14ac:dyDescent="0.25">
      <c r="L55" s="3"/>
      <c r="M55" s="3"/>
      <c r="O55" s="335">
        <f>IF(B54=0,"",IF(B54&gt;0,(O53+R53+U53)/3))</f>
        <v>0.66666666666666663</v>
      </c>
      <c r="P55" s="336"/>
      <c r="Q55" s="336"/>
      <c r="R55" s="336"/>
      <c r="S55" s="336"/>
      <c r="T55" s="336"/>
      <c r="U55" s="336"/>
      <c r="V55" s="336"/>
      <c r="W55" s="337"/>
      <c r="X55" s="335">
        <f>IF(B54=0,"",IF(B54&gt;0,(X53+AA53)/2))</f>
        <v>1</v>
      </c>
      <c r="Y55" s="336"/>
      <c r="Z55" s="336"/>
      <c r="AA55" s="336"/>
      <c r="AB55" s="336"/>
      <c r="AC55" s="337"/>
      <c r="AD55" s="3">
        <f>COUNTIF(O17:O52,0)</f>
        <v>35</v>
      </c>
      <c r="AE55" s="3">
        <f>COUNTIF(R17:R52,0)</f>
        <v>35</v>
      </c>
      <c r="AF55" s="3">
        <f>COUNTIF(U17:U52,0)</f>
        <v>35</v>
      </c>
      <c r="AG55" s="3">
        <f>COUNTIF(X17:X52,0)</f>
        <v>35</v>
      </c>
      <c r="AH55" s="3">
        <f>COUNTIF(AA17:AA52,0)</f>
        <v>35</v>
      </c>
      <c r="AI55" s="3">
        <f>COUNTIF(AV17:AV52,"")</f>
        <v>33</v>
      </c>
      <c r="AJ55" s="106" t="e">
        <f>AJ53/K65*K67</f>
        <v>#DIV/0!</v>
      </c>
      <c r="AK55" s="106" t="e">
        <f>AK53/L65*L67</f>
        <v>#DIV/0!</v>
      </c>
      <c r="AL55" s="106">
        <f>AL53/M65*M67</f>
        <v>0.26666666666666666</v>
      </c>
      <c r="AM55" s="106">
        <f>AM53/N65*N67</f>
        <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3</v>
      </c>
      <c r="BA55" s="3"/>
      <c r="BB55" s="5"/>
      <c r="BC55" s="5"/>
      <c r="BD55" s="5"/>
      <c r="BE55" s="5"/>
      <c r="BF55" s="3"/>
      <c r="BG55" s="3"/>
    </row>
    <row r="56" spans="1:59" ht="20.25" thickBot="1" x14ac:dyDescent="0.45">
      <c r="B56" s="46" t="s">
        <v>7</v>
      </c>
      <c r="C56" s="174"/>
      <c r="D56" s="174"/>
      <c r="E56" s="174"/>
      <c r="F56" s="174"/>
      <c r="G56" s="174"/>
      <c r="H56" s="174"/>
      <c r="I56" s="174"/>
      <c r="J56" s="329">
        <f>J1</f>
        <v>8</v>
      </c>
      <c r="K56" s="330"/>
      <c r="L56" s="331"/>
      <c r="M56" s="32"/>
      <c r="O56" s="137"/>
      <c r="P56" s="137"/>
      <c r="Q56" s="137"/>
      <c r="R56" s="137"/>
      <c r="S56" s="137"/>
      <c r="T56" s="137"/>
      <c r="U56" s="137"/>
      <c r="V56" s="137"/>
      <c r="W56" s="137"/>
      <c r="X56" s="137"/>
      <c r="Y56" s="137"/>
      <c r="Z56" s="137"/>
      <c r="AA56" s="137"/>
      <c r="AB56" s="137"/>
      <c r="AC56" s="137"/>
      <c r="AD56" s="3">
        <f t="shared" ref="AD56:AI56" si="44">36-AD55</f>
        <v>1</v>
      </c>
      <c r="AE56" s="3">
        <f t="shared" si="44"/>
        <v>1</v>
      </c>
      <c r="AF56" s="3">
        <f t="shared" si="44"/>
        <v>1</v>
      </c>
      <c r="AG56" s="3">
        <f t="shared" si="44"/>
        <v>1</v>
      </c>
      <c r="AH56" s="3">
        <f t="shared" si="44"/>
        <v>1</v>
      </c>
      <c r="AI56" s="3">
        <f t="shared" si="44"/>
        <v>3</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0">
        <f>J2</f>
        <v>0</v>
      </c>
      <c r="K57" s="321"/>
      <c r="L57" s="322"/>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f>AD54</f>
        <v>1</v>
      </c>
      <c r="K60" s="106">
        <f>AE54</f>
        <v>0</v>
      </c>
      <c r="L60" s="106">
        <f>AF54</f>
        <v>1</v>
      </c>
      <c r="M60" s="106">
        <f>AG54</f>
        <v>1</v>
      </c>
      <c r="N60" s="106">
        <f>AH54</f>
        <v>1</v>
      </c>
      <c r="O60" s="106">
        <f>$AV$53</f>
        <v>0.26666666666666666</v>
      </c>
      <c r="P60" s="140" t="str">
        <f>$AW$53</f>
        <v/>
      </c>
      <c r="Q60" s="106">
        <f>$AZ$53</f>
        <v>1</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2</v>
      </c>
      <c r="N65" s="1">
        <f>COUNTIF($J$17:$J$52,"D")</f>
        <v>1</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f>K65/$B$53</f>
        <v>0</v>
      </c>
      <c r="L67" s="106">
        <f>L65/$B$53</f>
        <v>0</v>
      </c>
      <c r="M67" s="106">
        <f>M65/$B$53</f>
        <v>0.66666666666666663</v>
      </c>
      <c r="N67" s="106">
        <f>N65/$B$53</f>
        <v>0.33333333333333331</v>
      </c>
      <c r="O67" s="106">
        <f>O65/$B$53</f>
        <v>0</v>
      </c>
      <c r="P67" s="106"/>
      <c r="Q67" s="106"/>
    </row>
    <row r="68" spans="10:17" x14ac:dyDescent="0.2">
      <c r="J68" s="142" t="s">
        <v>85</v>
      </c>
      <c r="K68" s="106" t="e">
        <f>AJ55</f>
        <v>#DIV/0!</v>
      </c>
      <c r="L68" s="106" t="e">
        <f>AK55</f>
        <v>#DIV/0!</v>
      </c>
      <c r="M68" s="106">
        <f>AL55</f>
        <v>0.26666666666666666</v>
      </c>
      <c r="N68" s="106">
        <f>AM55</f>
        <v>0</v>
      </c>
      <c r="O68" s="106" t="e">
        <f>AN55</f>
        <v>#DIV/0!</v>
      </c>
      <c r="P68" s="106"/>
      <c r="Q68" s="106"/>
    </row>
    <row r="69" spans="10:17" x14ac:dyDescent="0.2">
      <c r="J69" s="142" t="s">
        <v>86</v>
      </c>
      <c r="K69" s="106">
        <f>K66/$B$53</f>
        <v>0</v>
      </c>
      <c r="L69" s="106">
        <f>L66/$B$53</f>
        <v>0</v>
      </c>
      <c r="M69" s="106">
        <f>M66/$B$53</f>
        <v>0</v>
      </c>
      <c r="N69" s="106">
        <f>N66/$B$53</f>
        <v>0</v>
      </c>
      <c r="O69" s="106">
        <f>O66/$B$53</f>
        <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f>IF($E$6="ja",K67,IF($E6="nee",K69))</f>
        <v>0</v>
      </c>
      <c r="L71" s="106">
        <f>IF($E$6="ja",L67,IF($E6="nee",L69))</f>
        <v>0</v>
      </c>
      <c r="M71" s="106">
        <f>IF($E$6="ja",M67,IF($E6="nee",M69))</f>
        <v>0.66666666666666663</v>
      </c>
      <c r="N71" s="106">
        <f>IF($E$6="ja",N67,IF($E6="nee",N69))</f>
        <v>0.33333333333333331</v>
      </c>
      <c r="O71" s="106">
        <f>IF($E$6="ja",O67,IF($E6="nee",O69))</f>
        <v>0</v>
      </c>
      <c r="P71" s="106"/>
      <c r="Q71" s="106"/>
    </row>
    <row r="72" spans="10:17" x14ac:dyDescent="0.2">
      <c r="J72" s="142" t="s">
        <v>89</v>
      </c>
      <c r="K72" s="106" t="e">
        <f>IF($E$6="ja",K68,IF($E$6="nee",K70))</f>
        <v>#DIV/0!</v>
      </c>
      <c r="L72" s="106" t="e">
        <f>IF($E$6="ja",L68,IF($E$6="nee",L70))</f>
        <v>#DIV/0!</v>
      </c>
      <c r="M72" s="106">
        <f>IF($E$6="ja",M68,IF($E$6="nee",M70))</f>
        <v>0.26666666666666666</v>
      </c>
      <c r="N72" s="106">
        <f>IF($E$6="ja",N68,IF($E$6="nee",N70))</f>
        <v>0</v>
      </c>
      <c r="O72" s="106" t="e">
        <f>IF($E$6="ja",O68,IF($E$6="nee",O70))</f>
        <v>#DIV/0!</v>
      </c>
      <c r="P72" s="106"/>
      <c r="Q72" s="106"/>
    </row>
  </sheetData>
  <sheetProtection algorithmName="SHA-512" hashValue="3PBiM4Xw20JFto4FkbWD+oNFwsztsv8QY4QFnNjZjuSgdS/jhorm4EhrWwvhgXS1w8OEEZA49q7U5SK6wLBs7Q==" saltValue="rbZrECGvKAY3LHSVlRgfcw==" spinCount="100000" sheet="1" objects="1" scenarios="1"/>
  <mergeCells count="20">
    <mergeCell ref="X9:AU9"/>
    <mergeCell ref="O9:W9"/>
    <mergeCell ref="O53:Q53"/>
    <mergeCell ref="R53:T53"/>
    <mergeCell ref="U53:W53"/>
    <mergeCell ref="X53:Z53"/>
    <mergeCell ref="AA53:AC53"/>
    <mergeCell ref="J57:L57"/>
    <mergeCell ref="N1:O1"/>
    <mergeCell ref="N2:O2"/>
    <mergeCell ref="B4:BE4"/>
    <mergeCell ref="AW9:AY9"/>
    <mergeCell ref="J56:L56"/>
    <mergeCell ref="O54:W54"/>
    <mergeCell ref="O55:W55"/>
    <mergeCell ref="J1:K1"/>
    <mergeCell ref="J2:K2"/>
    <mergeCell ref="X54:AC54"/>
    <mergeCell ref="X55:AC55"/>
    <mergeCell ref="C53:N53"/>
  </mergeCells>
  <phoneticPr fontId="3" type="noConversion"/>
  <conditionalFormatting sqref="AZ17:AZ52">
    <cfRule type="cellIs" dxfId="119" priority="5" stopIfTrue="1" operator="equal">
      <formula>"x"</formula>
    </cfRule>
    <cfRule type="expression" dxfId="118" priority="6" stopIfTrue="1">
      <formula>$B17&gt;0</formula>
    </cfRule>
    <cfRule type="cellIs" dxfId="117" priority="7" stopIfTrue="1" operator="equal">
      <formula>""</formula>
    </cfRule>
  </conditionalFormatting>
  <conditionalFormatting sqref="BB17:BB52">
    <cfRule type="expression" dxfId="116" priority="8" stopIfTrue="1">
      <formula>$BC17=""</formula>
    </cfRule>
    <cfRule type="expression" dxfId="115" priority="9" stopIfTrue="1">
      <formula>$BC17&lt;$BA17</formula>
    </cfRule>
    <cfRule type="expression" dxfId="114" priority="10" stopIfTrue="1">
      <formula>$BC17&gt;=$BA17</formula>
    </cfRule>
  </conditionalFormatting>
  <conditionalFormatting sqref="BE17:BE52">
    <cfRule type="expression" dxfId="113" priority="11" stopIfTrue="1">
      <formula>$BF17=""</formula>
    </cfRule>
    <cfRule type="expression" dxfId="112" priority="12" stopIfTrue="1">
      <formula>$BF17&lt;$BC17</formula>
    </cfRule>
    <cfRule type="expression" dxfId="111" priority="13" stopIfTrue="1">
      <formula>$BF17&gt;=$BC17</formula>
    </cfRule>
  </conditionalFormatting>
  <conditionalFormatting sqref="E17:E52">
    <cfRule type="expression" dxfId="110" priority="17" stopIfTrue="1">
      <formula>$E17=""</formula>
    </cfRule>
    <cfRule type="expression" dxfId="109" priority="18" stopIfTrue="1">
      <formula>$E17&gt;$C17</formula>
    </cfRule>
    <cfRule type="expression" dxfId="108" priority="19" stopIfTrue="1">
      <formula>$E17&lt;$C17</formula>
    </cfRule>
  </conditionalFormatting>
  <conditionalFormatting sqref="B17:B52">
    <cfRule type="cellIs" dxfId="107" priority="20" stopIfTrue="1" operator="equal">
      <formula>""</formula>
    </cfRule>
    <cfRule type="cellIs" dxfId="106" priority="21" stopIfTrue="1" operator="equal">
      <formula>0</formula>
    </cfRule>
    <cfRule type="expression" dxfId="105" priority="22" stopIfTrue="1">
      <formula>$AV17&lt;0.8</formula>
    </cfRule>
  </conditionalFormatting>
  <conditionalFormatting sqref="E6:E7 J8:K8">
    <cfRule type="cellIs" dxfId="104" priority="23" stopIfTrue="1" operator="equal">
      <formula>"ja"</formula>
    </cfRule>
    <cfRule type="cellIs" dxfId="103" priority="24" stopIfTrue="1" operator="equal">
      <formula>"nee"</formula>
    </cfRule>
  </conditionalFormatting>
  <conditionalFormatting sqref="BA17:BA52 BG53 BA53:BE53">
    <cfRule type="expression" dxfId="102" priority="25" stopIfTrue="1">
      <formula>$U$2="ja"</formula>
    </cfRule>
    <cfRule type="expression" dxfId="101" priority="26" stopIfTrue="1">
      <formula>$X$2="ja"</formula>
    </cfRule>
  </conditionalFormatting>
  <conditionalFormatting sqref="BE10:BE12 BB10:BB12">
    <cfRule type="expression" dxfId="100" priority="27" stopIfTrue="1">
      <formula>$X$2="ja"</formula>
    </cfRule>
  </conditionalFormatting>
  <conditionalFormatting sqref="BC17:BD52 BF17:BG52">
    <cfRule type="expression" dxfId="99" priority="28" stopIfTrue="1">
      <formula>$X$2="ja"</formula>
    </cfRule>
  </conditionalFormatting>
  <conditionalFormatting sqref="AW53">
    <cfRule type="cellIs" dxfId="98" priority="29" stopIfTrue="1" operator="equal">
      <formula>""</formula>
    </cfRule>
    <cfRule type="cellIs" dxfId="97" priority="30" stopIfTrue="1" operator="greaterThan">
      <formula>0.03</formula>
    </cfRule>
  </conditionalFormatting>
  <conditionalFormatting sqref="AW17:AW52">
    <cfRule type="cellIs" dxfId="96" priority="31" stopIfTrue="1" operator="equal">
      <formula>1</formula>
    </cfRule>
    <cfRule type="cellIs" dxfId="95" priority="32" stopIfTrue="1" operator="equal">
      <formula>""</formula>
    </cfRule>
  </conditionalFormatting>
  <conditionalFormatting sqref="AY17:AY52">
    <cfRule type="cellIs" dxfId="94" priority="33" stopIfTrue="1" operator="equal">
      <formula>1</formula>
    </cfRule>
    <cfRule type="cellIs" dxfId="93" priority="34" stopIfTrue="1" operator="lessThan">
      <formula>1</formula>
    </cfRule>
    <cfRule type="cellIs" dxfId="92" priority="35" stopIfTrue="1" operator="equal">
      <formula>""</formula>
    </cfRule>
  </conditionalFormatting>
  <conditionalFormatting sqref="AV10:AV12">
    <cfRule type="cellIs" dxfId="91" priority="36" stopIfTrue="1" operator="equal">
      <formula>1</formula>
    </cfRule>
    <cfRule type="cellIs" dxfId="90" priority="37" stopIfTrue="1" operator="lessThan">
      <formula>1</formula>
    </cfRule>
  </conditionalFormatting>
  <conditionalFormatting sqref="N10:N12">
    <cfRule type="expression" dxfId="89" priority="38" stopIfTrue="1">
      <formula>$U$2="ja"</formula>
    </cfRule>
    <cfRule type="expression" dxfId="88" priority="39" stopIfTrue="1">
      <formula>$X$2="ja"</formula>
    </cfRule>
  </conditionalFormatting>
  <conditionalFormatting sqref="O10:Q12">
    <cfRule type="expression" dxfId="87" priority="40" stopIfTrue="1">
      <formula>$U$1="ja"</formula>
    </cfRule>
    <cfRule type="expression" dxfId="86" priority="41" stopIfTrue="1">
      <formula>$X$1="ja"</formula>
    </cfRule>
    <cfRule type="expression" dxfId="85" priority="42" stopIfTrue="1">
      <formula>$AD$1="ja"</formula>
    </cfRule>
  </conditionalFormatting>
  <conditionalFormatting sqref="R10:T12">
    <cfRule type="expression" dxfId="84" priority="43" stopIfTrue="1">
      <formula>$AA$1="ja"</formula>
    </cfRule>
    <cfRule type="expression" dxfId="83" priority="44" stopIfTrue="1">
      <formula>$AD$1="ja"</formula>
    </cfRule>
  </conditionalFormatting>
  <conditionalFormatting sqref="U11:U12">
    <cfRule type="expression" dxfId="82" priority="45" stopIfTrue="1">
      <formula>$AD$1="ja"</formula>
    </cfRule>
  </conditionalFormatting>
  <conditionalFormatting sqref="X10:X12 AA10:AC12">
    <cfRule type="expression" dxfId="81" priority="46" stopIfTrue="1">
      <formula>$X$1="ja"</formula>
    </cfRule>
    <cfRule type="expression" dxfId="80" priority="47" stopIfTrue="1">
      <formula>$AA$1="ja"</formula>
    </cfRule>
    <cfRule type="expression" dxfId="79" priority="48" stopIfTrue="1">
      <formula>$AD$1="ja"</formula>
    </cfRule>
  </conditionalFormatting>
  <conditionalFormatting sqref="AU17:AU52">
    <cfRule type="cellIs" dxfId="78" priority="49" stopIfTrue="1" operator="notEqual">
      <formula>""</formula>
    </cfRule>
  </conditionalFormatting>
  <conditionalFormatting sqref="M17:M52">
    <cfRule type="cellIs" dxfId="77" priority="50" stopIfTrue="1" operator="equal">
      <formula>"x"</formula>
    </cfRule>
    <cfRule type="cellIs" dxfId="76" priority="51" stopIfTrue="1" operator="equal">
      <formula>""</formula>
    </cfRule>
  </conditionalFormatting>
  <conditionalFormatting sqref="H17:I52">
    <cfRule type="cellIs" dxfId="75" priority="52" stopIfTrue="1" operator="equal">
      <formula>""</formula>
    </cfRule>
  </conditionalFormatting>
  <conditionalFormatting sqref="L17:L52">
    <cfRule type="cellIs" dxfId="74" priority="53" stopIfTrue="1" operator="equal">
      <formula>"x"</formula>
    </cfRule>
    <cfRule type="cellIs" dxfId="73" priority="54" stopIfTrue="1" operator="equal">
      <formula>""</formula>
    </cfRule>
  </conditionalFormatting>
  <conditionalFormatting sqref="N17:N52">
    <cfRule type="cellIs" dxfId="72" priority="55" stopIfTrue="1" operator="equal">
      <formula>""</formula>
    </cfRule>
    <cfRule type="cellIs" dxfId="71" priority="56" stopIfTrue="1" operator="greaterThan">
      <formula>""</formula>
    </cfRule>
  </conditionalFormatting>
  <conditionalFormatting sqref="J17:K52">
    <cfRule type="cellIs" dxfId="70" priority="57" stopIfTrue="1" operator="equal">
      <formula>""</formula>
    </cfRule>
  </conditionalFormatting>
  <conditionalFormatting sqref="F17:G52">
    <cfRule type="expression" dxfId="69" priority="58" stopIfTrue="1">
      <formula>""</formula>
    </cfRule>
  </conditionalFormatting>
  <conditionalFormatting sqref="S17:S52 V17:V52 Y17:Y52 P17:P52 AB17:AB52">
    <cfRule type="cellIs" dxfId="68" priority="59" stopIfTrue="1" operator="equal">
      <formula>0</formula>
    </cfRule>
    <cfRule type="cellIs" dxfId="67" priority="60" stopIfTrue="1" operator="greaterThan">
      <formula>0</formula>
    </cfRule>
  </conditionalFormatting>
  <conditionalFormatting sqref="Q17:Q52 T17:T52 W17:W52 Z17:Z52 AC17:AC52">
    <cfRule type="cellIs" dxfId="66" priority="61" stopIfTrue="1" operator="equal">
      <formula>""</formula>
    </cfRule>
    <cfRule type="cellIs" dxfId="65" priority="62" stopIfTrue="1" operator="greaterThanOrEqual">
      <formula>1.3</formula>
    </cfRule>
    <cfRule type="cellIs" dxfId="64" priority="63" stopIfTrue="1" operator="lessThan">
      <formula>0.8</formula>
    </cfRule>
  </conditionalFormatting>
  <conditionalFormatting sqref="AV17:AV52">
    <cfRule type="cellIs" dxfId="63" priority="64" stopIfTrue="1" operator="equal">
      <formula>1</formula>
    </cfRule>
    <cfRule type="cellIs" dxfId="62" priority="65" stopIfTrue="1" operator="lessThan">
      <formula>0.8</formula>
    </cfRule>
    <cfRule type="cellIs" dxfId="61" priority="66" stopIfTrue="1" operator="between">
      <formula>0.8</formula>
      <formula>1</formula>
    </cfRule>
  </conditionalFormatting>
  <conditionalFormatting sqref="D17:D52">
    <cfRule type="cellIs" dxfId="60" priority="67" stopIfTrue="1" operator="equal">
      <formula>""</formula>
    </cfRule>
    <cfRule type="cellIs" dxfId="59" priority="68" stopIfTrue="1" operator="greaterThan">
      <formula>""</formula>
    </cfRule>
  </conditionalFormatting>
  <conditionalFormatting sqref="O17:O52">
    <cfRule type="cellIs" dxfId="58" priority="69" stopIfTrue="1" operator="equal">
      <formula>0</formula>
    </cfRule>
    <cfRule type="expression" dxfId="57" priority="70" stopIfTrue="1">
      <formula>$Q17&gt;=0.8</formula>
    </cfRule>
    <cfRule type="expression" dxfId="56" priority="71" stopIfTrue="1">
      <formula>$Q17&lt;0.8</formula>
    </cfRule>
  </conditionalFormatting>
  <conditionalFormatting sqref="R17:R52">
    <cfRule type="cellIs" dxfId="55" priority="72" stopIfTrue="1" operator="equal">
      <formula>0</formula>
    </cfRule>
    <cfRule type="expression" dxfId="54" priority="73" stopIfTrue="1">
      <formula>$T17&gt;=0.8</formula>
    </cfRule>
    <cfRule type="expression" dxfId="53" priority="74" stopIfTrue="1">
      <formula>$T17&lt;0.8</formula>
    </cfRule>
  </conditionalFormatting>
  <conditionalFormatting sqref="U17:U52">
    <cfRule type="cellIs" dxfId="52" priority="75" stopIfTrue="1" operator="equal">
      <formula>0</formula>
    </cfRule>
    <cfRule type="expression" dxfId="51" priority="76" stopIfTrue="1">
      <formula>$W17&gt;=0.8</formula>
    </cfRule>
    <cfRule type="expression" dxfId="50" priority="77" stopIfTrue="1">
      <formula>$W17&lt;0.8</formula>
    </cfRule>
  </conditionalFormatting>
  <conditionalFormatting sqref="X17:X52">
    <cfRule type="cellIs" dxfId="49" priority="78" stopIfTrue="1" operator="equal">
      <formula>0</formula>
    </cfRule>
    <cfRule type="expression" dxfId="48" priority="79" stopIfTrue="1">
      <formula>$Z17&gt;=0.8</formula>
    </cfRule>
    <cfRule type="expression" dxfId="47" priority="80" stopIfTrue="1">
      <formula>$Z17&lt;0.8</formula>
    </cfRule>
  </conditionalFormatting>
  <conditionalFormatting sqref="AA17:AA52">
    <cfRule type="cellIs" dxfId="46" priority="81" stopIfTrue="1" operator="equal">
      <formula>0</formula>
    </cfRule>
    <cfRule type="expression" dxfId="45" priority="82" stopIfTrue="1">
      <formula>$AC17&gt;=0.8</formula>
    </cfRule>
    <cfRule type="expression" dxfId="44" priority="83" stopIfTrue="1">
      <formula>$AC17&lt;0.8</formula>
    </cfRule>
  </conditionalFormatting>
  <conditionalFormatting sqref="Y10:Z12">
    <cfRule type="expression" dxfId="43" priority="163" stopIfTrue="1">
      <formula>$AA$1="ja"</formula>
    </cfRule>
    <cfRule type="expression" dxfId="42" priority="164" stopIfTrue="1">
      <formula>$AD$1="ja"</formula>
    </cfRule>
    <cfRule type="expression" dxfId="41" priority="165" stopIfTrue="1">
      <formula>$X$1="ja"</formula>
    </cfRule>
  </conditionalFormatting>
  <conditionalFormatting sqref="U10 V10:W12">
    <cfRule type="expression" dxfId="40" priority="166" stopIfTrue="1">
      <formula>$AD$1="ja"</formula>
    </cfRule>
  </conditionalFormatting>
  <conditionalFormatting sqref="C17:C52">
    <cfRule type="expression" dxfId="39" priority="2" stopIfTrue="1">
      <formula>$C17=""</formula>
    </cfRule>
    <cfRule type="expression" dxfId="38" priority="3" stopIfTrue="1">
      <formula>$C17&gt;$E17</formula>
    </cfRule>
    <cfRule type="expression" dxfId="37" priority="4" stopIfTrue="1">
      <formula>$C17&lt;$E17</formula>
    </cfRule>
  </conditionalFormatting>
  <conditionalFormatting sqref="AT17:AT52">
    <cfRule type="cellIs" dxfId="36" priority="1" stopIfTrue="1" operator="notEqual">
      <formula>""</formula>
    </cfRule>
  </conditionalFormatting>
  <dataValidations xWindow="129" yWindow="143"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V39"/>
  <sheetViews>
    <sheetView showGridLines="0" showRowColHeaders="0" zoomScale="75" zoomScaleNormal="85" workbookViewId="0">
      <selection activeCell="F4" sqref="F4"/>
    </sheetView>
  </sheetViews>
  <sheetFormatPr defaultRowHeight="12.75" x14ac:dyDescent="0.2"/>
  <cols>
    <col min="1" max="1" width="4" bestFit="1" customWidth="1"/>
    <col min="2" max="2" width="20.7109375" style="33" customWidth="1"/>
    <col min="3" max="3" width="4" customWidth="1"/>
    <col min="5" max="5" width="18" customWidth="1"/>
    <col min="19" max="19" width="18.140625" style="1" bestFit="1" customWidth="1"/>
    <col min="20" max="20" width="12.85546875" style="1" customWidth="1"/>
    <col min="21" max="21" width="18.28515625" style="1" bestFit="1" customWidth="1"/>
    <col min="22" max="22" width="15.42578125" style="1" bestFit="1" customWidth="1"/>
  </cols>
  <sheetData>
    <row r="1" spans="1:22" ht="13.5" thickBot="1" x14ac:dyDescent="0.25"/>
    <row r="2" spans="1:22" ht="21.75" thickBot="1" x14ac:dyDescent="0.45">
      <c r="A2" s="41"/>
      <c r="B2" s="42" t="str">
        <f>BEGINBLAD!A5</f>
        <v>namen leerlingen:</v>
      </c>
      <c r="D2" s="354" t="s">
        <v>7</v>
      </c>
      <c r="E2" s="361"/>
      <c r="F2" s="311">
        <v>8</v>
      </c>
      <c r="G2" s="355" t="str">
        <f>VLOOKUP($F$4,BEGINBLAD!A1:C41,2)</f>
        <v>leerling 1</v>
      </c>
      <c r="H2" s="355"/>
      <c r="I2" s="355"/>
      <c r="J2" s="355"/>
      <c r="K2" s="355"/>
      <c r="L2" s="355"/>
      <c r="M2" s="355"/>
      <c r="N2" s="356"/>
      <c r="S2" s="220" t="s">
        <v>106</v>
      </c>
      <c r="T2" s="232" t="s">
        <v>55</v>
      </c>
      <c r="U2" s="232" t="s">
        <v>107</v>
      </c>
      <c r="V2" s="233" t="s">
        <v>108</v>
      </c>
    </row>
    <row r="3" spans="1:22" ht="13.5" thickBot="1" x14ac:dyDescent="0.25">
      <c r="A3" s="37">
        <f>BEGINBLAD!A6</f>
        <v>1</v>
      </c>
      <c r="B3" s="38" t="str">
        <f>BEGINBLAD!B6</f>
        <v>leerling 1</v>
      </c>
    </row>
    <row r="4" spans="1:22" ht="21.75" thickBot="1" x14ac:dyDescent="0.45">
      <c r="A4" s="37">
        <f>BEGINBLAD!A7</f>
        <v>2</v>
      </c>
      <c r="B4" s="38" t="str">
        <f>BEGINBLAD!B7</f>
        <v>leerling 2</v>
      </c>
      <c r="D4" s="352" t="s">
        <v>24</v>
      </c>
      <c r="E4" s="353"/>
      <c r="F4" s="217">
        <v>1</v>
      </c>
      <c r="G4" s="357" t="s">
        <v>145</v>
      </c>
      <c r="H4" s="358"/>
      <c r="I4" s="359">
        <f>VLOOKUP($F$4,BEGINBLAD!A6:C41,3)</f>
        <v>37358</v>
      </c>
      <c r="J4" s="359"/>
      <c r="K4" s="359"/>
      <c r="L4" s="359"/>
      <c r="M4" s="359"/>
      <c r="N4" s="360"/>
      <c r="S4" s="220" t="s">
        <v>109</v>
      </c>
      <c r="T4" s="224" t="str">
        <f>VLOOKUP($F$4,'RIO - M8'!$A$17:$AB$52,10)</f>
        <v>C</v>
      </c>
      <c r="U4" s="231">
        <f>VLOOKUP($F$4,'RIO - M8'!$A$17:$AB$52,11)</f>
        <v>2.4</v>
      </c>
      <c r="V4" s="230">
        <v>1</v>
      </c>
    </row>
    <row r="5" spans="1:22" x14ac:dyDescent="0.2">
      <c r="A5" s="37">
        <f>BEGINBLAD!A8</f>
        <v>3</v>
      </c>
      <c r="B5" s="38" t="str">
        <f>BEGINBLAD!B8</f>
        <v>leerling 3</v>
      </c>
    </row>
    <row r="6" spans="1:22" ht="15" x14ac:dyDescent="0.3">
      <c r="A6" s="37">
        <f>BEGINBLAD!A9</f>
        <v>4</v>
      </c>
      <c r="B6" s="38">
        <f>BEGINBLAD!B9</f>
        <v>0</v>
      </c>
      <c r="S6" s="239" t="s">
        <v>8</v>
      </c>
      <c r="T6" s="246" t="str">
        <f>VLOOKUP($F$4,'RIO - M8'!$A$17:$AB$52,15)</f>
        <v>B</v>
      </c>
      <c r="U6" s="240">
        <f>VLOOKUP($F$4,'RIO - M8'!$A$17:$AB$52,16)</f>
        <v>3.6</v>
      </c>
      <c r="V6" s="241">
        <f>VLOOKUP($F$4,'RIO - M8'!$A$17:$AB$52,17)</f>
        <v>1.5</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t="str">
        <f>VLOOKUP($F$4,'RIO - M8'!$A$17:$AB$52,18)</f>
        <v>D</v>
      </c>
      <c r="U8" s="227">
        <f>VLOOKUP($F$4,'RIO - M8'!$A$17:$AB$52,19)</f>
        <v>1.3</v>
      </c>
      <c r="V8" s="225">
        <f>VLOOKUP($F$4,'RIO - M8'!$A$17:$AB$52,20)</f>
        <v>0.54166666666666674</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f>VLOOKUP($F$4,'RIO - M8'!$A$17:$AB$52,17)</f>
        <v>1.5</v>
      </c>
      <c r="G10" s="219">
        <f>VLOOKUP($F$4,'RIO - M8'!$A$17:$AB$52,20)</f>
        <v>0.54166666666666674</v>
      </c>
      <c r="H10" s="219">
        <f>VLOOKUP($F$4,'RIO - M8'!$A$17:$AB$52,23)</f>
        <v>0.87500000000000011</v>
      </c>
      <c r="I10" s="219">
        <f>VLOOKUP($F$4,'RIO - M8'!$A$17:$AB$52,26)</f>
        <v>1.7083333333333333</v>
      </c>
      <c r="J10" s="219">
        <f>VLOOKUP($F$4,'RIO - M8'!$A$17:$AC$52,29)</f>
        <v>1.1666666666666667</v>
      </c>
      <c r="K10" s="219" t="str">
        <f>VLOOKUP($F$4,'RIO - M8'!$A$17:$AB$52,10)</f>
        <v>C</v>
      </c>
      <c r="L10" s="36"/>
      <c r="M10" s="36"/>
      <c r="S10" s="221" t="s">
        <v>10</v>
      </c>
      <c r="T10" s="247" t="str">
        <f>VLOOKUP($F$4,'RIO - M8'!$A$17:$AB$52,21)</f>
        <v>D</v>
      </c>
      <c r="U10" s="227">
        <f>VLOOKUP($F$4,'RIO - M8'!$A$17:$AB$52,22)</f>
        <v>2.1</v>
      </c>
      <c r="V10" s="225">
        <f>VLOOKUP($F$4,'RIO - M8'!$A$17:$AB$52,23)</f>
        <v>0.87500000000000011</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f>F10*L12</f>
        <v>0.89999999999999991</v>
      </c>
      <c r="G12" s="218">
        <f>G10*L12</f>
        <v>0.32500000000000001</v>
      </c>
      <c r="H12" s="218">
        <f>H10*L12</f>
        <v>0.52500000000000002</v>
      </c>
      <c r="I12" s="218">
        <f>I10*L12</f>
        <v>1.0249999999999999</v>
      </c>
      <c r="J12" s="218">
        <f>J10*L12</f>
        <v>0.70000000000000007</v>
      </c>
      <c r="K12" s="218">
        <f>0.8*L12</f>
        <v>0.48</v>
      </c>
      <c r="L12" s="218">
        <f>IF(K10="A",1,IF(K10="B",0.8,IF(K10="C",0.6,IF(K10="D",0.4,IF(K10="E",0.2)))))</f>
        <v>0.6</v>
      </c>
      <c r="S12" s="221" t="s">
        <v>11</v>
      </c>
      <c r="T12" s="247" t="str">
        <f>VLOOKUP($F$4,'RIO - M8'!$A$17:$AB$52,24)</f>
        <v>A</v>
      </c>
      <c r="U12" s="227">
        <f>VLOOKUP($F$4,'RIO - M8'!$A$17:$AB$52,25)</f>
        <v>4.0999999999999996</v>
      </c>
      <c r="V12" s="225">
        <f>VLOOKUP($F$4,'RIO - M8'!$A$17:$AB$52,26)</f>
        <v>1.7083333333333333</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t="str">
        <f>VLOOKUP($F$4,'RIO - M8'!$A$17:$AC$52,27)</f>
        <v>C</v>
      </c>
      <c r="U14" s="229">
        <f>VLOOKUP($F$4,'RIO - M8'!$A$17:$AC$52,28)</f>
        <v>2.8</v>
      </c>
      <c r="V14" s="226">
        <f>VLOOKUP($F$4,'RIO - M8'!$A$17:$AC$52,29)</f>
        <v>1.1666666666666667</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C</v>
      </c>
      <c r="U16" s="234">
        <f>AVERAGE(U6:U14)</f>
        <v>2.78</v>
      </c>
      <c r="V16" s="235">
        <f>VLOOKUP($F$4,'RIO - M8'!$A$17:$AC$52,14)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f>(U4/8)*10</f>
        <v>3</v>
      </c>
    </row>
    <row r="20" spans="1:21" x14ac:dyDescent="0.2">
      <c r="A20" s="37">
        <f>BEGINBLAD!A23</f>
        <v>18</v>
      </c>
      <c r="B20" s="38">
        <f>BEGINBLAD!B23</f>
        <v>0</v>
      </c>
      <c r="U20" s="5">
        <f>U4*0.8</f>
        <v>1.92</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GIPfLGF1sFycZzTFTV86BCwk2sE9CrHBySAmRoPH1ICIDNVgPQEo0cHgV+D4hL9G+84Oj6o/WJ1wbYRVLG+lbA==" saltValue="Q0oRdbay14B1Z2mOSBY4/g==" spinCount="100000" sheet="1" objects="1" scenarios="1"/>
  <mergeCells count="5">
    <mergeCell ref="D4:E4"/>
    <mergeCell ref="D2:E2"/>
    <mergeCell ref="G2:N2"/>
    <mergeCell ref="G4:H4"/>
    <mergeCell ref="I4:N4"/>
  </mergeCells>
  <phoneticPr fontId="3" type="noConversion"/>
  <conditionalFormatting sqref="V6:V14">
    <cfRule type="cellIs" dxfId="35" priority="1" stopIfTrue="1" operator="between">
      <formula>0.001</formula>
      <formula>0.8</formula>
    </cfRule>
    <cfRule type="cellIs" dxfId="34" priority="2" stopIfTrue="1" operator="greaterThanOrEqual">
      <formula>1.3</formula>
    </cfRule>
    <cfRule type="cellIs" dxfId="33" priority="3" stopIfTrue="1" operator="greaterThanOrEqual">
      <formula>1</formula>
    </cfRule>
  </conditionalFormatting>
  <conditionalFormatting sqref="V16">
    <cfRule type="cellIs" dxfId="32" priority="4" stopIfTrue="1" operator="equal">
      <formula>0</formula>
    </cfRule>
  </conditionalFormatting>
  <conditionalFormatting sqref="T6">
    <cfRule type="expression" dxfId="31" priority="5" stopIfTrue="1">
      <formula>$V$6&gt;=1.3</formula>
    </cfRule>
    <cfRule type="expression" dxfId="30" priority="6" stopIfTrue="1">
      <formula>$V$6&lt;0.8</formula>
    </cfRule>
    <cfRule type="expression" dxfId="29" priority="7" stopIfTrue="1">
      <formula>$V$6&lt;1</formula>
    </cfRule>
  </conditionalFormatting>
  <conditionalFormatting sqref="T8">
    <cfRule type="expression" dxfId="28" priority="8" stopIfTrue="1">
      <formula>$V$8&gt;=1.3</formula>
    </cfRule>
    <cfRule type="expression" dxfId="27" priority="9" stopIfTrue="1">
      <formula>$V$8&lt;0.8</formula>
    </cfRule>
    <cfRule type="expression" dxfId="26" priority="10" stopIfTrue="1">
      <formula>$V$8&lt;1</formula>
    </cfRule>
  </conditionalFormatting>
  <conditionalFormatting sqref="T10">
    <cfRule type="expression" dxfId="25" priority="11" stopIfTrue="1">
      <formula>$V$10&gt;=1.3</formula>
    </cfRule>
    <cfRule type="expression" dxfId="24" priority="12" stopIfTrue="1">
      <formula>$V$10&lt;0.8</formula>
    </cfRule>
    <cfRule type="expression" dxfId="23" priority="13" stopIfTrue="1">
      <formula>$V$10&lt;1</formula>
    </cfRule>
  </conditionalFormatting>
  <conditionalFormatting sqref="T12">
    <cfRule type="expression" dxfId="22" priority="14" stopIfTrue="1">
      <formula>$V$12&gt;=1.3</formula>
    </cfRule>
    <cfRule type="expression" dxfId="21" priority="15" stopIfTrue="1">
      <formula>$V$12&lt;0.8</formula>
    </cfRule>
    <cfRule type="expression" dxfId="20" priority="16" stopIfTrue="1">
      <formula>$V$12&lt;1</formula>
    </cfRule>
  </conditionalFormatting>
  <conditionalFormatting sqref="T14">
    <cfRule type="expression" dxfId="19" priority="17" stopIfTrue="1">
      <formula>$V$14&gt;=1.3</formula>
    </cfRule>
    <cfRule type="expression" dxfId="18" priority="18" stopIfTrue="1">
      <formula>$V$14&lt;0.8</formula>
    </cfRule>
    <cfRule type="expression" dxfId="17" priority="19" stopIfTrue="1">
      <formula>$V$14&lt;1</formula>
    </cfRule>
  </conditionalFormatting>
  <conditionalFormatting sqref="T16">
    <cfRule type="expression" dxfId="16" priority="20" stopIfTrue="1">
      <formula>$U$16&gt;=$U$19</formula>
    </cfRule>
    <cfRule type="expression" dxfId="15" priority="21" stopIfTrue="1">
      <formula>$U$16&lt;$U$20</formula>
    </cfRule>
    <cfRule type="expression" dxfId="14" priority="22" stopIfTrue="1">
      <formula>$T$16&lt;$U$4</formula>
    </cfRule>
  </conditionalFormatting>
  <pageMargins left="0.41" right="0.25" top="1" bottom="1" header="0.5" footer="0.5"/>
  <pageSetup paperSize="9" scale="68" orientation="landscape" horizontalDpi="4294967293" r:id="rId1"/>
  <headerFooter alignWithMargins="0">
    <oddHeader>&amp;C&amp;14Ontwikkelings Perspectief (OP)</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2:AG51"/>
  <sheetViews>
    <sheetView showGridLines="0" showRowColHeaders="0" topLeftCell="F4" zoomScale="65" zoomScaleNormal="65" workbookViewId="0">
      <selection activeCell="H4" sqref="H4"/>
    </sheetView>
  </sheetViews>
  <sheetFormatPr defaultRowHeight="12.75" x14ac:dyDescent="0.2"/>
  <cols>
    <col min="1" max="1" width="5" bestFit="1" customWidth="1"/>
    <col min="2" max="2" width="20.7109375" style="54" customWidth="1"/>
    <col min="3" max="3" width="4" customWidth="1"/>
    <col min="5" max="6" width="18" customWidth="1"/>
    <col min="8" max="8" width="9.5703125" bestFit="1" customWidth="1"/>
    <col min="10" max="10" width="12.42578125" bestFit="1" customWidth="1"/>
    <col min="11" max="11" width="9.5703125" bestFit="1" customWidth="1"/>
    <col min="12" max="12" width="10.85546875" bestFit="1" customWidth="1"/>
    <col min="14" max="15" width="9.5703125" bestFit="1" customWidth="1"/>
    <col min="16" max="16" width="12.42578125" bestFit="1" customWidth="1"/>
    <col min="19" max="19" width="12.42578125" bestFit="1" customWidth="1"/>
    <col min="20" max="20" width="9.5703125" bestFit="1" customWidth="1"/>
    <col min="21" max="21" width="9.5703125" customWidth="1"/>
    <col min="22" max="22" width="10.85546875" bestFit="1" customWidth="1"/>
    <col min="24" max="25" width="9.42578125" style="1" bestFit="1" customWidth="1"/>
    <col min="26" max="26" width="12.42578125" style="1" bestFit="1" customWidth="1"/>
    <col min="27" max="27" width="9.140625" style="1"/>
  </cols>
  <sheetData>
    <row r="2" spans="1:33" ht="21" x14ac:dyDescent="0.4">
      <c r="D2" s="316"/>
      <c r="E2" s="316"/>
      <c r="F2" s="292"/>
      <c r="G2" s="292"/>
      <c r="H2" s="251"/>
      <c r="I2" s="316"/>
      <c r="J2" s="316"/>
      <c r="K2" s="314"/>
      <c r="L2" s="314"/>
      <c r="M2" s="314"/>
      <c r="N2" s="314"/>
      <c r="O2" s="314"/>
      <c r="P2" s="314"/>
    </row>
    <row r="3" spans="1:33" ht="13.5" thickBot="1" x14ac:dyDescent="0.25"/>
    <row r="4" spans="1:33" ht="21.75" thickBot="1" x14ac:dyDescent="0.45">
      <c r="A4" s="41"/>
      <c r="B4" s="263" t="str">
        <f>BEGINBLAD!A5</f>
        <v>namen leerlingen:</v>
      </c>
      <c r="E4" s="364" t="s">
        <v>24</v>
      </c>
      <c r="F4" s="364"/>
      <c r="G4" s="365"/>
      <c r="H4" s="217">
        <v>3</v>
      </c>
      <c r="I4" s="357" t="str">
        <f>VLOOKUP($H$4,BEGINBLAD!A1:B41,2)</f>
        <v>leerling 3</v>
      </c>
      <c r="J4" s="358"/>
      <c r="K4" s="358"/>
      <c r="L4" s="358"/>
      <c r="M4" s="358"/>
      <c r="N4" s="358"/>
      <c r="O4" s="358"/>
      <c r="P4" s="358"/>
      <c r="Q4" s="358"/>
      <c r="R4" s="358"/>
      <c r="S4" s="358"/>
      <c r="T4" s="363"/>
      <c r="U4" s="260"/>
      <c r="X4" s="260"/>
      <c r="Y4" s="260"/>
      <c r="Z4" s="260"/>
      <c r="AA4" s="260"/>
      <c r="AB4" s="260"/>
    </row>
    <row r="5" spans="1:33" ht="12.75" customHeight="1" x14ac:dyDescent="0.2">
      <c r="A5" s="262">
        <f>BEGINBLAD!A6</f>
        <v>1</v>
      </c>
      <c r="B5" s="264" t="str">
        <f>BEGINBLAD!B6</f>
        <v>leerling 1</v>
      </c>
      <c r="X5" s="30"/>
      <c r="Y5" s="30"/>
      <c r="Z5" s="30"/>
      <c r="AA5" s="30"/>
      <c r="AB5" s="29"/>
    </row>
    <row r="6" spans="1:33" ht="12.75" customHeight="1" x14ac:dyDescent="0.2">
      <c r="A6" s="262">
        <f>BEGINBLAD!A7</f>
        <v>2</v>
      </c>
      <c r="B6" s="264" t="str">
        <f>BEGINBLAD!B7</f>
        <v>leerling 2</v>
      </c>
      <c r="I6" s="287"/>
      <c r="J6" s="287"/>
      <c r="K6" s="287"/>
      <c r="L6" s="287"/>
      <c r="M6" s="287"/>
      <c r="N6" s="287"/>
      <c r="O6" s="287"/>
      <c r="P6" s="287"/>
      <c r="Q6" s="287"/>
      <c r="R6" s="287"/>
      <c r="S6" s="287"/>
      <c r="T6" s="287"/>
      <c r="U6" s="287"/>
      <c r="V6" s="287"/>
      <c r="W6" s="287"/>
      <c r="X6" s="279"/>
      <c r="Y6" s="280"/>
      <c r="Z6" s="280"/>
      <c r="AA6" s="30"/>
      <c r="AB6" s="29"/>
    </row>
    <row r="7" spans="1:33" ht="12.75" customHeight="1" x14ac:dyDescent="0.3">
      <c r="A7" s="262">
        <f>BEGINBLAD!A8</f>
        <v>3</v>
      </c>
      <c r="B7" s="264" t="str">
        <f>BEGINBLAD!B8</f>
        <v>leerling 3</v>
      </c>
      <c r="H7" s="32"/>
      <c r="I7" s="362" t="s">
        <v>136</v>
      </c>
      <c r="J7" s="362"/>
      <c r="K7" s="362"/>
      <c r="L7" s="362"/>
      <c r="M7" s="287"/>
      <c r="N7" s="287"/>
      <c r="O7" s="287"/>
      <c r="P7" s="287"/>
      <c r="Q7" s="287"/>
      <c r="R7" s="362" t="s">
        <v>137</v>
      </c>
      <c r="S7" s="362"/>
      <c r="T7" s="362"/>
      <c r="U7" s="362"/>
      <c r="V7" s="362"/>
      <c r="W7" s="281"/>
      <c r="X7" s="282"/>
      <c r="Y7" s="287"/>
      <c r="Z7" s="287"/>
      <c r="AA7" s="294"/>
      <c r="AB7" s="289"/>
      <c r="AC7" s="36"/>
      <c r="AD7" s="36"/>
      <c r="AE7" s="36"/>
      <c r="AF7" s="36"/>
      <c r="AG7" s="36"/>
    </row>
    <row r="8" spans="1:33" ht="12.75" customHeight="1" x14ac:dyDescent="0.2">
      <c r="A8" s="262">
        <f>BEGINBLAD!A9</f>
        <v>4</v>
      </c>
      <c r="B8" s="264">
        <f>BEGINBLAD!B9</f>
        <v>0</v>
      </c>
      <c r="H8" s="36"/>
      <c r="I8" s="280" t="s">
        <v>128</v>
      </c>
      <c r="J8" s="280" t="s">
        <v>129</v>
      </c>
      <c r="K8" s="280" t="s">
        <v>114</v>
      </c>
      <c r="L8" s="280" t="s">
        <v>101</v>
      </c>
      <c r="M8" s="280" t="s">
        <v>88</v>
      </c>
      <c r="N8" s="280" t="s">
        <v>132</v>
      </c>
      <c r="O8" s="280" t="s">
        <v>131</v>
      </c>
      <c r="P8" s="280" t="s">
        <v>133</v>
      </c>
      <c r="Q8" s="287"/>
      <c r="R8" s="280" t="s">
        <v>128</v>
      </c>
      <c r="S8" s="280" t="s">
        <v>129</v>
      </c>
      <c r="T8" s="280" t="s">
        <v>114</v>
      </c>
      <c r="U8" s="280"/>
      <c r="V8" s="280" t="s">
        <v>101</v>
      </c>
      <c r="W8" s="280" t="s">
        <v>88</v>
      </c>
      <c r="X8" s="280" t="s">
        <v>132</v>
      </c>
      <c r="Y8" s="280" t="s">
        <v>131</v>
      </c>
      <c r="Z8" s="280" t="s">
        <v>133</v>
      </c>
      <c r="AA8" s="295"/>
      <c r="AB8" s="290"/>
      <c r="AC8" s="36"/>
      <c r="AD8" s="36"/>
      <c r="AE8" s="36"/>
      <c r="AF8" s="36"/>
      <c r="AG8" s="36"/>
    </row>
    <row r="9" spans="1:33" ht="12.75" customHeight="1" x14ac:dyDescent="0.2">
      <c r="A9" s="262">
        <f>BEGINBLAD!A10</f>
        <v>5</v>
      </c>
      <c r="B9" s="264">
        <f>BEGINBLAD!B10</f>
        <v>0</v>
      </c>
      <c r="H9" s="36"/>
      <c r="I9" s="280" t="s">
        <v>127</v>
      </c>
      <c r="J9" s="283">
        <f t="shared" ref="J9:J17" si="0">P9*L9</f>
        <v>0.62083333333333335</v>
      </c>
      <c r="K9" s="283">
        <f t="shared" ref="K9:K17" si="1">0.8*L9</f>
        <v>0.64000000000000012</v>
      </c>
      <c r="L9" s="283">
        <f t="shared" ref="L9:L17" si="2">IF(M9="A",1,IF(M9="B",0.8,IF(M9="C",0.6,IF(M9="D",0.4,IF(M9="E",0.2)))))</f>
        <v>0.8</v>
      </c>
      <c r="M9" s="279" t="str">
        <f>VLOOKUP($H$4,'RIO - M4'!$A$17:$AB$52,10)</f>
        <v>B</v>
      </c>
      <c r="N9" s="284">
        <f>VLOOKUP($H$4,'NW - M4'!$B$6:$N$41,12)</f>
        <v>2.4833333333333334</v>
      </c>
      <c r="O9" s="284">
        <f>VLOOKUP($H$4,'RIO - M4'!$A$17:$AB$52,11)</f>
        <v>3.2</v>
      </c>
      <c r="P9" s="288">
        <f t="shared" ref="P9:P17" si="3">(N9/O9)</f>
        <v>0.77604166666666663</v>
      </c>
      <c r="Q9" s="287"/>
      <c r="R9" s="280" t="s">
        <v>127</v>
      </c>
      <c r="S9" s="283">
        <f t="shared" ref="S9:S17" si="4">Z9*V9</f>
        <v>0.7</v>
      </c>
      <c r="T9" s="283">
        <f t="shared" ref="T9:T17" si="5">0.8*V9</f>
        <v>0.64000000000000012</v>
      </c>
      <c r="U9" s="283"/>
      <c r="V9" s="283">
        <f t="shared" ref="V9:V17" si="6">IF(W9="A",1,IF(W9="B",0.8,IF(W9="C",0.6,IF(W9="D",0.4,IF(W9="E",0.2)))))</f>
        <v>0.8</v>
      </c>
      <c r="W9" s="279" t="str">
        <f>VLOOKUP($H$4,'RIO - M4'!$A$17:$AB$52,10)</f>
        <v>B</v>
      </c>
      <c r="X9" s="284">
        <f>VLOOKUP($H$4,'NW - M4'!$B$6:$N$41,4)</f>
        <v>2.8</v>
      </c>
      <c r="Y9" s="284">
        <f>VLOOKUP($H$4,'RIO - M4'!$A$17:$AB$52,11)</f>
        <v>3.2</v>
      </c>
      <c r="Z9" s="288">
        <f t="shared" ref="Z9:Z17" si="7">(X9/Y9)</f>
        <v>0.87499999999999989</v>
      </c>
      <c r="AA9" s="294"/>
      <c r="AB9" s="289"/>
      <c r="AC9" s="36"/>
      <c r="AD9" s="36"/>
      <c r="AE9" s="36"/>
      <c r="AF9" s="36"/>
      <c r="AG9" s="36"/>
    </row>
    <row r="10" spans="1:33" ht="12.75" customHeight="1" x14ac:dyDescent="0.3">
      <c r="A10" s="262">
        <f>BEGINBLAD!A11</f>
        <v>6</v>
      </c>
      <c r="B10" s="264">
        <f>BEGINBLAD!B11</f>
        <v>0</v>
      </c>
      <c r="H10" s="252"/>
      <c r="I10" s="280" t="s">
        <v>126</v>
      </c>
      <c r="J10" s="283">
        <f t="shared" si="0"/>
        <v>0.72499999999999998</v>
      </c>
      <c r="K10" s="283">
        <f t="shared" si="1"/>
        <v>0.64000000000000012</v>
      </c>
      <c r="L10" s="283">
        <f t="shared" si="2"/>
        <v>0.8</v>
      </c>
      <c r="M10" s="279" t="str">
        <f>VLOOKUP($H$4,'RIO - E4'!$A$17:$AB$52,10)</f>
        <v>B</v>
      </c>
      <c r="N10" s="284">
        <f>VLOOKUP($H$4,'NW - E4'!$B$6:$N$41,12)</f>
        <v>2.9</v>
      </c>
      <c r="O10" s="284">
        <f>VLOOKUP($H$4,'RIO - E4'!$A$17:$AB$52,11)</f>
        <v>3.2</v>
      </c>
      <c r="P10" s="288">
        <f t="shared" si="3"/>
        <v>0.90624999999999989</v>
      </c>
      <c r="Q10" s="287"/>
      <c r="R10" s="280" t="s">
        <v>126</v>
      </c>
      <c r="S10" s="283">
        <f t="shared" si="4"/>
        <v>0.92500000000000004</v>
      </c>
      <c r="T10" s="283">
        <f t="shared" si="5"/>
        <v>0.64000000000000012</v>
      </c>
      <c r="U10" s="283"/>
      <c r="V10" s="283">
        <f t="shared" si="6"/>
        <v>0.8</v>
      </c>
      <c r="W10" s="279" t="str">
        <f>VLOOKUP($H$4,'RIO - E4'!$A$17:$AB$52,10)</f>
        <v>B</v>
      </c>
      <c r="X10" s="284">
        <f>VLOOKUP($H$4,'NW - E4'!$B$6:$N$41,4)</f>
        <v>3.7</v>
      </c>
      <c r="Y10" s="284">
        <f>VLOOKUP($H$4,'RIO - E4'!$A$17:$AB$52,11)</f>
        <v>3.2</v>
      </c>
      <c r="Z10" s="288">
        <f t="shared" si="7"/>
        <v>1.15625</v>
      </c>
      <c r="AA10" s="295"/>
      <c r="AB10" s="290"/>
      <c r="AC10" s="36"/>
      <c r="AD10" s="36"/>
      <c r="AE10" s="36"/>
      <c r="AF10" s="36"/>
      <c r="AG10" s="36"/>
    </row>
    <row r="11" spans="1:33" ht="12.75" customHeight="1" x14ac:dyDescent="0.2">
      <c r="A11" s="262">
        <f>BEGINBLAD!A12</f>
        <v>7</v>
      </c>
      <c r="B11" s="264">
        <f>BEGINBLAD!B12</f>
        <v>0</v>
      </c>
      <c r="H11" s="253"/>
      <c r="I11" s="280" t="s">
        <v>125</v>
      </c>
      <c r="J11" s="283">
        <f t="shared" si="0"/>
        <v>0.53749999999999998</v>
      </c>
      <c r="K11" s="283">
        <f t="shared" si="1"/>
        <v>0.48</v>
      </c>
      <c r="L11" s="283">
        <f t="shared" si="2"/>
        <v>0.6</v>
      </c>
      <c r="M11" s="279" t="str">
        <f>VLOOKUP($H$4,'RIO - M5'!$A$17:$AB$52,10)</f>
        <v>C</v>
      </c>
      <c r="N11" s="284">
        <f>VLOOKUP($H$4,'NW - M5'!$B$6:$N$41,12)</f>
        <v>2.15</v>
      </c>
      <c r="O11" s="284">
        <f>VLOOKUP($H$4,'RIO - M5'!$A$17:$AB$52,11)</f>
        <v>2.4</v>
      </c>
      <c r="P11" s="288">
        <f t="shared" si="3"/>
        <v>0.89583333333333337</v>
      </c>
      <c r="Q11" s="287"/>
      <c r="R11" s="280" t="s">
        <v>125</v>
      </c>
      <c r="S11" s="283">
        <f t="shared" si="4"/>
        <v>0.75</v>
      </c>
      <c r="T11" s="283">
        <f t="shared" si="5"/>
        <v>0.48</v>
      </c>
      <c r="U11" s="283"/>
      <c r="V11" s="283">
        <f t="shared" si="6"/>
        <v>0.6</v>
      </c>
      <c r="W11" s="279" t="str">
        <f>VLOOKUP($H$4,'RIO - M5'!$A$17:$AB$52,10)</f>
        <v>C</v>
      </c>
      <c r="X11" s="284">
        <f>VLOOKUP($H$4,'NW - M5'!$B$6:$N$41,4)</f>
        <v>3</v>
      </c>
      <c r="Y11" s="284">
        <f>VLOOKUP($H$4,'RIO - M5'!$A$17:$AB$52,11)</f>
        <v>2.4</v>
      </c>
      <c r="Z11" s="288">
        <f t="shared" si="7"/>
        <v>1.25</v>
      </c>
      <c r="AA11" s="294"/>
      <c r="AB11" s="289"/>
      <c r="AC11" s="36"/>
      <c r="AD11" s="36"/>
      <c r="AE11" s="36"/>
      <c r="AF11" s="36"/>
      <c r="AG11" s="36"/>
    </row>
    <row r="12" spans="1:33" ht="12.75" customHeight="1" x14ac:dyDescent="0.2">
      <c r="A12" s="262">
        <f>BEGINBLAD!A13</f>
        <v>8</v>
      </c>
      <c r="B12" s="264">
        <f>BEGINBLAD!B13</f>
        <v>0</v>
      </c>
      <c r="H12" s="254"/>
      <c r="I12" s="280" t="s">
        <v>124</v>
      </c>
      <c r="J12" s="283">
        <f t="shared" si="0"/>
        <v>0.65</v>
      </c>
      <c r="K12" s="283">
        <f t="shared" si="1"/>
        <v>0.48</v>
      </c>
      <c r="L12" s="283">
        <f t="shared" si="2"/>
        <v>0.6</v>
      </c>
      <c r="M12" s="279" t="str">
        <f>VLOOKUP($H$4,'RIO - E5'!$A$17:$AB$52,10)</f>
        <v>C</v>
      </c>
      <c r="N12" s="284">
        <f>VLOOKUP($H$4,'NW - E5'!$B$6:$N$41,12)</f>
        <v>2.6</v>
      </c>
      <c r="O12" s="284">
        <f>VLOOKUP($H$4,'RIO - E5'!$A$17:$AB$52,11)</f>
        <v>2.4</v>
      </c>
      <c r="P12" s="288">
        <f t="shared" si="3"/>
        <v>1.0833333333333335</v>
      </c>
      <c r="Q12" s="287"/>
      <c r="R12" s="280" t="s">
        <v>124</v>
      </c>
      <c r="S12" s="283">
        <f t="shared" si="4"/>
        <v>0.55000000000000004</v>
      </c>
      <c r="T12" s="283">
        <f t="shared" si="5"/>
        <v>0.48</v>
      </c>
      <c r="U12" s="283"/>
      <c r="V12" s="283">
        <f t="shared" si="6"/>
        <v>0.6</v>
      </c>
      <c r="W12" s="279" t="str">
        <f>VLOOKUP($H$4,'RIO - E5'!$A$17:$AB$52,10)</f>
        <v>C</v>
      </c>
      <c r="X12" s="284">
        <f>VLOOKUP($H$4,'NW - E5'!$B$6:$N$41,4)</f>
        <v>2.2000000000000002</v>
      </c>
      <c r="Y12" s="284">
        <f>VLOOKUP($H$4,'RIO - E5'!$A$17:$AB$52,11)</f>
        <v>2.4</v>
      </c>
      <c r="Z12" s="288">
        <f t="shared" si="7"/>
        <v>0.91666666666666674</v>
      </c>
      <c r="AA12" s="295"/>
      <c r="AB12" s="290"/>
      <c r="AC12" s="36"/>
      <c r="AD12" s="36"/>
      <c r="AE12" s="36"/>
      <c r="AF12" s="36"/>
      <c r="AG12" s="36"/>
    </row>
    <row r="13" spans="1:33" ht="12.75" customHeight="1" x14ac:dyDescent="0.2">
      <c r="A13" s="262">
        <f>BEGINBLAD!A14</f>
        <v>9</v>
      </c>
      <c r="B13" s="264">
        <f>BEGINBLAD!B14</f>
        <v>0</v>
      </c>
      <c r="H13" s="36"/>
      <c r="I13" s="280" t="s">
        <v>123</v>
      </c>
      <c r="J13" s="283">
        <f t="shared" si="0"/>
        <v>0.5625</v>
      </c>
      <c r="K13" s="283">
        <f t="shared" si="1"/>
        <v>0.48</v>
      </c>
      <c r="L13" s="283">
        <f t="shared" si="2"/>
        <v>0.6</v>
      </c>
      <c r="M13" s="279" t="str">
        <f>VLOOKUP($H$4,'RIO - M6'!$A$17:$AB$52,10)</f>
        <v>C</v>
      </c>
      <c r="N13" s="284">
        <f>VLOOKUP($H$4,'NW - M6'!$B$6:$N$41,12)</f>
        <v>2.25</v>
      </c>
      <c r="O13" s="284">
        <f>VLOOKUP($H$4,'RIO - M6'!$A$17:$AB$52,11)</f>
        <v>2.4</v>
      </c>
      <c r="P13" s="288">
        <f t="shared" si="3"/>
        <v>0.9375</v>
      </c>
      <c r="Q13" s="287"/>
      <c r="R13" s="280" t="s">
        <v>123</v>
      </c>
      <c r="S13" s="283">
        <f t="shared" si="4"/>
        <v>0.65</v>
      </c>
      <c r="T13" s="283">
        <f t="shared" si="5"/>
        <v>0.48</v>
      </c>
      <c r="U13" s="283"/>
      <c r="V13" s="283">
        <f t="shared" si="6"/>
        <v>0.6</v>
      </c>
      <c r="W13" s="279" t="str">
        <f>VLOOKUP($H$4,'RIO - M6'!$A$17:$AB$52,10)</f>
        <v>C</v>
      </c>
      <c r="X13" s="284">
        <f>VLOOKUP($H$4,'NW - M6'!$B$6:$N$41,4)</f>
        <v>2.6</v>
      </c>
      <c r="Y13" s="284">
        <f>VLOOKUP($H$4,'RIO - M6'!$A$17:$AB$52,11)</f>
        <v>2.4</v>
      </c>
      <c r="Z13" s="288">
        <f t="shared" si="7"/>
        <v>1.0833333333333335</v>
      </c>
      <c r="AA13" s="294"/>
      <c r="AB13" s="289"/>
      <c r="AC13" s="36"/>
      <c r="AD13" s="36"/>
      <c r="AE13" s="36"/>
      <c r="AF13" s="36"/>
      <c r="AG13" s="36"/>
    </row>
    <row r="14" spans="1:33" ht="12.75" customHeight="1" x14ac:dyDescent="0.3">
      <c r="A14" s="262">
        <f>BEGINBLAD!A15</f>
        <v>10</v>
      </c>
      <c r="B14" s="264">
        <f>BEGINBLAD!B15</f>
        <v>0</v>
      </c>
      <c r="D14" s="2"/>
      <c r="H14" s="36"/>
      <c r="I14" s="280" t="s">
        <v>122</v>
      </c>
      <c r="J14" s="283" t="e">
        <f t="shared" si="0"/>
        <v>#VALUE!</v>
      </c>
      <c r="K14" s="283">
        <f t="shared" si="1"/>
        <v>0.48</v>
      </c>
      <c r="L14" s="283">
        <f t="shared" si="2"/>
        <v>0.6</v>
      </c>
      <c r="M14" s="279" t="str">
        <f>VLOOKUP($H$4,'RIO - E6'!$A$17:$AB$52,10)</f>
        <v>C</v>
      </c>
      <c r="N14" s="284" t="str">
        <f>VLOOKUP($H$4,'NW - E6'!$B$6:$N$41,12)</f>
        <v/>
      </c>
      <c r="O14" s="284">
        <f>VLOOKUP($H$4,'RIO - E6'!$A$17:$AB$52,11)</f>
        <v>2.4</v>
      </c>
      <c r="P14" s="288" t="e">
        <f t="shared" si="3"/>
        <v>#VALUE!</v>
      </c>
      <c r="Q14" s="287"/>
      <c r="R14" s="280" t="s">
        <v>122</v>
      </c>
      <c r="S14" s="283">
        <f t="shared" si="4"/>
        <v>0</v>
      </c>
      <c r="T14" s="283">
        <f t="shared" si="5"/>
        <v>0.48</v>
      </c>
      <c r="U14" s="283"/>
      <c r="V14" s="283">
        <f t="shared" si="6"/>
        <v>0.6</v>
      </c>
      <c r="W14" s="279" t="str">
        <f>VLOOKUP($H$4,'RIO - E6'!$A$17:$AB$52,10)</f>
        <v>C</v>
      </c>
      <c r="X14" s="284">
        <f>VLOOKUP($H$4,'NW - E6'!$B$6:$N$41,4)</f>
        <v>0</v>
      </c>
      <c r="Y14" s="284">
        <f>VLOOKUP($H$4,'RIO - E6'!$A$17:$AB$52,11)</f>
        <v>2.4</v>
      </c>
      <c r="Z14" s="288">
        <f t="shared" si="7"/>
        <v>0</v>
      </c>
      <c r="AA14" s="295"/>
      <c r="AB14" s="290"/>
      <c r="AC14" s="36"/>
      <c r="AD14" s="36"/>
      <c r="AE14" s="36"/>
      <c r="AF14" s="36"/>
      <c r="AG14" s="36"/>
    </row>
    <row r="15" spans="1:33" ht="12.75" customHeight="1" x14ac:dyDescent="0.2">
      <c r="A15" s="262">
        <f>BEGINBLAD!A16</f>
        <v>11</v>
      </c>
      <c r="B15" s="264">
        <f>BEGINBLAD!B16</f>
        <v>0</v>
      </c>
      <c r="H15" s="36"/>
      <c r="I15" s="280" t="s">
        <v>119</v>
      </c>
      <c r="J15" s="283" t="e">
        <f t="shared" si="0"/>
        <v>#VALUE!</v>
      </c>
      <c r="K15" s="283">
        <f t="shared" si="1"/>
        <v>0.48</v>
      </c>
      <c r="L15" s="283">
        <f t="shared" si="2"/>
        <v>0.6</v>
      </c>
      <c r="M15" s="279" t="str">
        <f>VLOOKUP($H$4,'RIO - M7'!$A$17:$AB$52,10)</f>
        <v>C</v>
      </c>
      <c r="N15" s="284" t="str">
        <f>VLOOKUP($H$4,'NW - M7'!$B$6:$N$41,12)</f>
        <v/>
      </c>
      <c r="O15" s="284">
        <f>VLOOKUP($H$4,'RIO - M7'!$A$17:$AB$52,11)</f>
        <v>2.4</v>
      </c>
      <c r="P15" s="288" t="e">
        <f t="shared" si="3"/>
        <v>#VALUE!</v>
      </c>
      <c r="Q15" s="287"/>
      <c r="R15" s="280" t="s">
        <v>119</v>
      </c>
      <c r="S15" s="283">
        <f t="shared" si="4"/>
        <v>0</v>
      </c>
      <c r="T15" s="283">
        <f t="shared" si="5"/>
        <v>0.48</v>
      </c>
      <c r="U15" s="283"/>
      <c r="V15" s="283">
        <f t="shared" si="6"/>
        <v>0.6</v>
      </c>
      <c r="W15" s="279" t="str">
        <f>VLOOKUP($H$4,'RIO - M7'!$A$17:$AB$52,10)</f>
        <v>C</v>
      </c>
      <c r="X15" s="284">
        <f>VLOOKUP($H$4,'NW - M7'!$B$6:$N$41,4)</f>
        <v>0</v>
      </c>
      <c r="Y15" s="284">
        <f>VLOOKUP($H$4,'RIO - M7'!$A$17:$AB$52,11)</f>
        <v>2.4</v>
      </c>
      <c r="Z15" s="288">
        <f t="shared" si="7"/>
        <v>0</v>
      </c>
      <c r="AA15" s="294"/>
      <c r="AB15" s="289"/>
      <c r="AC15" s="36"/>
      <c r="AD15" s="36"/>
      <c r="AE15" s="36"/>
      <c r="AF15" s="36"/>
      <c r="AG15" s="36"/>
    </row>
    <row r="16" spans="1:33" ht="12.75" customHeight="1" x14ac:dyDescent="0.3">
      <c r="A16" s="262">
        <f>BEGINBLAD!A17</f>
        <v>12</v>
      </c>
      <c r="B16" s="264">
        <f>BEGINBLAD!B17</f>
        <v>0</v>
      </c>
      <c r="H16" s="36"/>
      <c r="I16" s="286" t="s">
        <v>118</v>
      </c>
      <c r="J16" s="283" t="e">
        <f t="shared" si="0"/>
        <v>#VALUE!</v>
      </c>
      <c r="K16" s="283">
        <f t="shared" si="1"/>
        <v>0.48</v>
      </c>
      <c r="L16" s="283">
        <f t="shared" si="2"/>
        <v>0.6</v>
      </c>
      <c r="M16" s="279" t="str">
        <f>VLOOKUP($H$4,'RIO - E7'!$A$17:$AB$52,10)</f>
        <v>C</v>
      </c>
      <c r="N16" s="284" t="str">
        <f>VLOOKUP($H$4,'NW - E7'!$B$6:$N$41,12)</f>
        <v/>
      </c>
      <c r="O16" s="284">
        <f>VLOOKUP($H$4,'RIO - E7'!$A$17:$AB$52,11)</f>
        <v>2.4</v>
      </c>
      <c r="P16" s="288" t="e">
        <f t="shared" si="3"/>
        <v>#VALUE!</v>
      </c>
      <c r="Q16" s="287"/>
      <c r="R16" s="286" t="s">
        <v>118</v>
      </c>
      <c r="S16" s="283">
        <f t="shared" si="4"/>
        <v>0</v>
      </c>
      <c r="T16" s="283">
        <f t="shared" si="5"/>
        <v>0.48</v>
      </c>
      <c r="U16" s="283"/>
      <c r="V16" s="283">
        <f t="shared" si="6"/>
        <v>0.6</v>
      </c>
      <c r="W16" s="279" t="str">
        <f>VLOOKUP($H$4,'RIO - E7'!$A$17:$AB$52,10)</f>
        <v>C</v>
      </c>
      <c r="X16" s="284">
        <f>VLOOKUP($H$4,'NW - E7'!$B$6:$N$41,4)</f>
        <v>0</v>
      </c>
      <c r="Y16" s="284">
        <f>VLOOKUP($H$4,'RIO - E7'!$A$17:$AB$52,11)</f>
        <v>2.4</v>
      </c>
      <c r="Z16" s="288">
        <f t="shared" si="7"/>
        <v>0</v>
      </c>
      <c r="AA16" s="295"/>
      <c r="AB16" s="290"/>
      <c r="AC16" s="36"/>
      <c r="AD16" s="36"/>
      <c r="AE16" s="36"/>
      <c r="AF16" s="36"/>
      <c r="AG16" s="36"/>
    </row>
    <row r="17" spans="1:33" ht="12.75" customHeight="1" x14ac:dyDescent="0.2">
      <c r="A17" s="262">
        <f>BEGINBLAD!A18</f>
        <v>13</v>
      </c>
      <c r="B17" s="264">
        <f>BEGINBLAD!B18</f>
        <v>0</v>
      </c>
      <c r="H17" s="36"/>
      <c r="I17" s="280" t="s">
        <v>117</v>
      </c>
      <c r="J17" s="283" t="e">
        <f t="shared" si="0"/>
        <v>#VALUE!</v>
      </c>
      <c r="K17" s="283">
        <f t="shared" si="1"/>
        <v>0.48</v>
      </c>
      <c r="L17" s="283">
        <f t="shared" si="2"/>
        <v>0.6</v>
      </c>
      <c r="M17" s="279" t="str">
        <f>VLOOKUP($H$4,'RIO - M8'!$A$17:$AB$52,10)</f>
        <v>C</v>
      </c>
      <c r="N17" s="284" t="str">
        <f>VLOOKUP($H$4,'NW - M8'!$B$6:$N$41,12)</f>
        <v/>
      </c>
      <c r="O17" s="284">
        <f>VLOOKUP($H$4,'RIO - M8'!$A$17:$AB$52,11)</f>
        <v>2.4</v>
      </c>
      <c r="P17" s="288" t="e">
        <f t="shared" si="3"/>
        <v>#VALUE!</v>
      </c>
      <c r="Q17" s="287"/>
      <c r="R17" s="280" t="s">
        <v>117</v>
      </c>
      <c r="S17" s="283">
        <f t="shared" si="4"/>
        <v>0</v>
      </c>
      <c r="T17" s="283">
        <f t="shared" si="5"/>
        <v>0.48</v>
      </c>
      <c r="U17" s="283"/>
      <c r="V17" s="283">
        <f t="shared" si="6"/>
        <v>0.6</v>
      </c>
      <c r="W17" s="279" t="str">
        <f>VLOOKUP($H$4,'RIO - M8'!$A$17:$AB$52,10)</f>
        <v>C</v>
      </c>
      <c r="X17" s="284">
        <f>VLOOKUP($H$4,'NW - M8'!$B$6:$N$41,4)</f>
        <v>0</v>
      </c>
      <c r="Y17" s="284">
        <f>VLOOKUP($H$4,'RIO - M8'!$A$17:$AB$52,11)</f>
        <v>2.4</v>
      </c>
      <c r="Z17" s="288">
        <f t="shared" si="7"/>
        <v>0</v>
      </c>
      <c r="AA17" s="294"/>
      <c r="AB17" s="289"/>
      <c r="AC17" s="36"/>
      <c r="AD17" s="36"/>
      <c r="AE17" s="36"/>
      <c r="AF17" s="36"/>
      <c r="AG17" s="36"/>
    </row>
    <row r="18" spans="1:33" ht="12.75" customHeight="1" x14ac:dyDescent="0.4">
      <c r="A18" s="262">
        <f>BEGINBLAD!A19</f>
        <v>14</v>
      </c>
      <c r="B18" s="264">
        <f>BEGINBLAD!B19</f>
        <v>0</v>
      </c>
      <c r="H18" s="36"/>
      <c r="I18" s="287"/>
      <c r="J18" s="285"/>
      <c r="K18" s="286"/>
      <c r="L18" s="281"/>
      <c r="M18" s="281"/>
      <c r="N18" s="282"/>
      <c r="O18" s="287"/>
      <c r="P18" s="287"/>
      <c r="Q18" s="287"/>
      <c r="R18" s="287"/>
      <c r="S18" s="287"/>
      <c r="T18" s="287"/>
      <c r="U18" s="287"/>
      <c r="V18" s="287"/>
      <c r="W18" s="287"/>
      <c r="X18" s="279"/>
      <c r="Y18" s="280"/>
      <c r="Z18" s="280"/>
      <c r="AA18" s="295"/>
      <c r="AB18" s="290"/>
      <c r="AC18" s="36"/>
      <c r="AD18" s="36"/>
      <c r="AE18" s="36"/>
      <c r="AF18" s="36"/>
      <c r="AG18" s="36"/>
    </row>
    <row r="19" spans="1:33" ht="12.75" customHeight="1" x14ac:dyDescent="0.3">
      <c r="A19" s="262">
        <f>BEGINBLAD!A20</f>
        <v>15</v>
      </c>
      <c r="B19" s="264">
        <f>BEGINBLAD!B20</f>
        <v>0</v>
      </c>
      <c r="H19" s="36"/>
      <c r="I19" s="362" t="s">
        <v>135</v>
      </c>
      <c r="J19" s="362"/>
      <c r="K19" s="362"/>
      <c r="L19" s="362"/>
      <c r="M19" s="281"/>
      <c r="N19" s="282"/>
      <c r="O19" s="287"/>
      <c r="P19" s="287"/>
      <c r="Q19" s="287"/>
      <c r="R19" s="362" t="s">
        <v>138</v>
      </c>
      <c r="S19" s="362"/>
      <c r="T19" s="362"/>
      <c r="U19" s="362"/>
      <c r="V19" s="362"/>
      <c r="W19" s="281"/>
      <c r="X19" s="282"/>
      <c r="Y19" s="287"/>
      <c r="Z19" s="287"/>
      <c r="AA19" s="294"/>
      <c r="AB19" s="289"/>
      <c r="AC19" s="36"/>
      <c r="AD19" s="36"/>
      <c r="AE19" s="36"/>
      <c r="AF19" s="36"/>
      <c r="AG19" s="36"/>
    </row>
    <row r="20" spans="1:33" ht="12.75" customHeight="1" x14ac:dyDescent="0.2">
      <c r="A20" s="262">
        <f>BEGINBLAD!A21</f>
        <v>16</v>
      </c>
      <c r="B20" s="264">
        <f>BEGINBLAD!B21</f>
        <v>0</v>
      </c>
      <c r="H20" s="36"/>
      <c r="I20" s="280" t="s">
        <v>128</v>
      </c>
      <c r="J20" s="280" t="s">
        <v>129</v>
      </c>
      <c r="K20" s="280" t="s">
        <v>114</v>
      </c>
      <c r="L20" s="280" t="s">
        <v>101</v>
      </c>
      <c r="M20" s="280" t="s">
        <v>88</v>
      </c>
      <c r="N20" s="280" t="s">
        <v>132</v>
      </c>
      <c r="O20" s="280" t="s">
        <v>131</v>
      </c>
      <c r="P20" s="280" t="s">
        <v>133</v>
      </c>
      <c r="Q20" s="287"/>
      <c r="R20" s="280" t="s">
        <v>128</v>
      </c>
      <c r="S20" s="280" t="s">
        <v>129</v>
      </c>
      <c r="T20" s="280" t="s">
        <v>114</v>
      </c>
      <c r="U20" s="280"/>
      <c r="V20" s="280" t="s">
        <v>101</v>
      </c>
      <c r="W20" s="280" t="s">
        <v>88</v>
      </c>
      <c r="X20" s="280" t="s">
        <v>132</v>
      </c>
      <c r="Y20" s="280" t="s">
        <v>131</v>
      </c>
      <c r="Z20" s="280" t="s">
        <v>133</v>
      </c>
      <c r="AA20" s="295"/>
      <c r="AB20" s="290"/>
      <c r="AC20" s="36"/>
      <c r="AD20" s="36"/>
      <c r="AE20" s="36"/>
      <c r="AF20" s="36"/>
      <c r="AG20" s="36"/>
    </row>
    <row r="21" spans="1:33" ht="12.75" customHeight="1" x14ac:dyDescent="0.2">
      <c r="A21" s="262">
        <f>BEGINBLAD!A22</f>
        <v>17</v>
      </c>
      <c r="B21" s="264">
        <f>BEGINBLAD!B22</f>
        <v>0</v>
      </c>
      <c r="H21" s="36"/>
      <c r="I21" s="280" t="s">
        <v>127</v>
      </c>
      <c r="J21" s="283">
        <f t="shared" ref="J21:J29" si="8">P21*L21</f>
        <v>0.625</v>
      </c>
      <c r="K21" s="283">
        <f t="shared" ref="K21:K29" si="9">0.8*L21</f>
        <v>0.64000000000000012</v>
      </c>
      <c r="L21" s="283">
        <f t="shared" ref="L21:L29" si="10">IF(M21="A",1,IF(M21="B",0.8,IF(M21="C",0.6,IF(M21="D",0.4,IF(M21="E",0.2)))))</f>
        <v>0.8</v>
      </c>
      <c r="M21" s="279" t="str">
        <f>VLOOKUP($H$4,'RIO - M4'!$A$17:$AB$52,10)</f>
        <v>B</v>
      </c>
      <c r="N21" s="284">
        <f>VLOOKUP($H$4,'NW - M4'!$B$6:$N$41,3)</f>
        <v>2.5</v>
      </c>
      <c r="O21" s="284">
        <f>VLOOKUP($H$4,'RIO - M4'!$A$17:$AB$52,11)</f>
        <v>3.2</v>
      </c>
      <c r="P21" s="288">
        <f t="shared" ref="P21:P29" si="11">(N21/O21)</f>
        <v>0.78125</v>
      </c>
      <c r="Q21" s="287"/>
      <c r="R21" s="280" t="s">
        <v>127</v>
      </c>
      <c r="S21" s="283">
        <f t="shared" ref="S21:S29" si="12">Z21*V21</f>
        <v>0.875</v>
      </c>
      <c r="T21" s="283">
        <f t="shared" ref="T21:T29" si="13">0.8*V21</f>
        <v>0.64000000000000012</v>
      </c>
      <c r="U21" s="283"/>
      <c r="V21" s="283">
        <f t="shared" ref="V21:V29" si="14">IF(W21="A",1,IF(W21="B",0.8,IF(W21="C",0.6,IF(W21="D",0.4,IF(W21="E",0.2)))))</f>
        <v>0.8</v>
      </c>
      <c r="W21" s="279" t="str">
        <f>VLOOKUP($H$4,'RIO - M4'!$A$17:$AB$52,10)</f>
        <v>B</v>
      </c>
      <c r="X21" s="284">
        <f>VLOOKUP($H$4,'NW - M4'!$B$6:$N$41,8)</f>
        <v>3.5</v>
      </c>
      <c r="Y21" s="284">
        <f>VLOOKUP($H$4,'RIO - M4'!$A$17:$AB$52,11)</f>
        <v>3.2</v>
      </c>
      <c r="Z21" s="288">
        <f t="shared" ref="Z21:Z29" si="15">(X21/Y21)</f>
        <v>1.09375</v>
      </c>
      <c r="AA21" s="294"/>
      <c r="AB21" s="289"/>
      <c r="AC21" s="36"/>
      <c r="AD21" s="36"/>
      <c r="AE21" s="36"/>
      <c r="AF21" s="36"/>
      <c r="AG21" s="36"/>
    </row>
    <row r="22" spans="1:33" ht="12.75" customHeight="1" x14ac:dyDescent="0.2">
      <c r="A22" s="262">
        <f>BEGINBLAD!A23</f>
        <v>18</v>
      </c>
      <c r="B22" s="264">
        <f>BEGINBLAD!B23</f>
        <v>0</v>
      </c>
      <c r="H22" s="36"/>
      <c r="I22" s="280" t="s">
        <v>126</v>
      </c>
      <c r="J22" s="283">
        <f t="shared" si="8"/>
        <v>0.57499999999999996</v>
      </c>
      <c r="K22" s="283">
        <f t="shared" si="9"/>
        <v>0.64000000000000012</v>
      </c>
      <c r="L22" s="283">
        <f t="shared" si="10"/>
        <v>0.8</v>
      </c>
      <c r="M22" s="279" t="str">
        <f>VLOOKUP($H$4,'RIO - E4'!$A$17:$AB$52,10)</f>
        <v>B</v>
      </c>
      <c r="N22" s="284">
        <f>VLOOKUP($H$4,'NW - E4'!$B$6:$N$41,3)</f>
        <v>2.2999999999999998</v>
      </c>
      <c r="O22" s="284">
        <f>VLOOKUP($H$4,'RIO - E4'!$A$17:$AB$52,11)</f>
        <v>3.2</v>
      </c>
      <c r="P22" s="288">
        <f t="shared" si="11"/>
        <v>0.71874999999999989</v>
      </c>
      <c r="Q22" s="287"/>
      <c r="R22" s="280" t="s">
        <v>126</v>
      </c>
      <c r="S22" s="283">
        <f t="shared" si="12"/>
        <v>0.75</v>
      </c>
      <c r="T22" s="283">
        <f t="shared" si="13"/>
        <v>0.64000000000000012</v>
      </c>
      <c r="U22" s="283"/>
      <c r="V22" s="283">
        <f t="shared" si="14"/>
        <v>0.8</v>
      </c>
      <c r="W22" s="279" t="str">
        <f>VLOOKUP($H$4,'RIO - E4'!$A$17:$AB$52,10)</f>
        <v>B</v>
      </c>
      <c r="X22" s="284">
        <f>VLOOKUP($H$4,'NW - E4'!$B$6:$N$41,8)</f>
        <v>3</v>
      </c>
      <c r="Y22" s="284">
        <f>VLOOKUP($H$4,'RIO - E4'!$A$17:$AB$52,11)</f>
        <v>3.2</v>
      </c>
      <c r="Z22" s="288">
        <f t="shared" si="15"/>
        <v>0.9375</v>
      </c>
      <c r="AA22" s="295"/>
      <c r="AB22" s="290"/>
      <c r="AC22" s="36"/>
      <c r="AD22" s="36"/>
      <c r="AE22" s="36"/>
      <c r="AF22" s="36"/>
      <c r="AG22" s="36"/>
    </row>
    <row r="23" spans="1:33" ht="12.75" customHeight="1" x14ac:dyDescent="0.2">
      <c r="A23" s="262">
        <f>BEGINBLAD!A24</f>
        <v>19</v>
      </c>
      <c r="B23" s="264">
        <f>BEGINBLAD!B24</f>
        <v>0</v>
      </c>
      <c r="H23" s="36"/>
      <c r="I23" s="280" t="s">
        <v>125</v>
      </c>
      <c r="J23" s="283">
        <f t="shared" si="8"/>
        <v>0.625</v>
      </c>
      <c r="K23" s="283">
        <f t="shared" si="9"/>
        <v>0.48</v>
      </c>
      <c r="L23" s="283">
        <f t="shared" si="10"/>
        <v>0.6</v>
      </c>
      <c r="M23" s="279" t="str">
        <f>VLOOKUP($H$4,'RIO - M5'!$A$17:$AB$52,10)</f>
        <v>C</v>
      </c>
      <c r="N23" s="284">
        <f>VLOOKUP($H$4,'NW - M5'!$B$6:$N$41,3)</f>
        <v>2.5</v>
      </c>
      <c r="O23" s="284">
        <f>VLOOKUP($H$4,'RIO - M5'!$A$17:$AB$52,11)</f>
        <v>2.4</v>
      </c>
      <c r="P23" s="288">
        <f t="shared" si="11"/>
        <v>1.0416666666666667</v>
      </c>
      <c r="Q23" s="287"/>
      <c r="R23" s="280" t="s">
        <v>125</v>
      </c>
      <c r="S23" s="283">
        <f t="shared" si="12"/>
        <v>0.65</v>
      </c>
      <c r="T23" s="283">
        <f t="shared" si="13"/>
        <v>0.48</v>
      </c>
      <c r="U23" s="283"/>
      <c r="V23" s="283">
        <f t="shared" si="14"/>
        <v>0.6</v>
      </c>
      <c r="W23" s="279" t="str">
        <f>VLOOKUP($H$4,'RIO - M5'!$A$17:$AB$52,10)</f>
        <v>C</v>
      </c>
      <c r="X23" s="284">
        <f>VLOOKUP($H$4,'NW - M5'!$B$6:$N$41,8)</f>
        <v>2.6</v>
      </c>
      <c r="Y23" s="284">
        <f>VLOOKUP($H$4,'RIO - M5'!$A$17:$AB$52,11)</f>
        <v>2.4</v>
      </c>
      <c r="Z23" s="288">
        <f t="shared" si="15"/>
        <v>1.0833333333333335</v>
      </c>
      <c r="AA23" s="5"/>
      <c r="AB23" s="36"/>
      <c r="AC23" s="36"/>
      <c r="AD23" s="36"/>
      <c r="AE23" s="36"/>
      <c r="AF23" s="36"/>
      <c r="AG23" s="36"/>
    </row>
    <row r="24" spans="1:33" ht="12.75" customHeight="1" x14ac:dyDescent="0.2">
      <c r="A24" s="262">
        <f>BEGINBLAD!A25</f>
        <v>20</v>
      </c>
      <c r="B24" s="264">
        <f>BEGINBLAD!B25</f>
        <v>0</v>
      </c>
      <c r="H24" s="36"/>
      <c r="I24" s="280" t="s">
        <v>124</v>
      </c>
      <c r="J24" s="283">
        <f t="shared" si="8"/>
        <v>0.625</v>
      </c>
      <c r="K24" s="283">
        <f t="shared" si="9"/>
        <v>0.48</v>
      </c>
      <c r="L24" s="283">
        <f t="shared" si="10"/>
        <v>0.6</v>
      </c>
      <c r="M24" s="279" t="str">
        <f>VLOOKUP($H$4,'RIO - E5'!$A$17:$AB$52,10)</f>
        <v>C</v>
      </c>
      <c r="N24" s="284">
        <f>VLOOKUP($H$4,'NW - E5'!$B$6:$N$41,3)</f>
        <v>2.5</v>
      </c>
      <c r="O24" s="284">
        <f>VLOOKUP($H$4,'RIO - E5'!$A$17:$AB$52,11)</f>
        <v>2.4</v>
      </c>
      <c r="P24" s="288">
        <f t="shared" si="11"/>
        <v>1.0416666666666667</v>
      </c>
      <c r="Q24" s="287"/>
      <c r="R24" s="280" t="s">
        <v>124</v>
      </c>
      <c r="S24" s="283">
        <f t="shared" si="12"/>
        <v>0.85</v>
      </c>
      <c r="T24" s="283">
        <f t="shared" si="13"/>
        <v>0.48</v>
      </c>
      <c r="U24" s="283"/>
      <c r="V24" s="283">
        <f t="shared" si="14"/>
        <v>0.6</v>
      </c>
      <c r="W24" s="279" t="str">
        <f>VLOOKUP($H$4,'RIO - E5'!$A$17:$AB$52,10)</f>
        <v>C</v>
      </c>
      <c r="X24" s="284">
        <f>VLOOKUP($H$4,'NW - E5'!$B$6:$N$41,8)</f>
        <v>3.4</v>
      </c>
      <c r="Y24" s="284">
        <f>VLOOKUP($H$4,'RIO - E5'!$A$17:$AB$52,11)</f>
        <v>2.4</v>
      </c>
      <c r="Z24" s="288">
        <f t="shared" si="15"/>
        <v>1.4166666666666667</v>
      </c>
      <c r="AA24" s="5"/>
      <c r="AB24" s="36"/>
      <c r="AC24" s="36"/>
      <c r="AD24" s="36"/>
      <c r="AE24" s="36"/>
      <c r="AF24" s="36"/>
      <c r="AG24" s="36"/>
    </row>
    <row r="25" spans="1:33" ht="12.75" customHeight="1" x14ac:dyDescent="0.2">
      <c r="A25" s="262">
        <f>BEGINBLAD!A26</f>
        <v>21</v>
      </c>
      <c r="B25" s="264">
        <f>BEGINBLAD!B26</f>
        <v>0</v>
      </c>
      <c r="H25" s="36"/>
      <c r="I25" s="280" t="s">
        <v>123</v>
      </c>
      <c r="J25" s="283">
        <f t="shared" si="8"/>
        <v>0.72499999999999998</v>
      </c>
      <c r="K25" s="283">
        <f t="shared" si="9"/>
        <v>0.48</v>
      </c>
      <c r="L25" s="283">
        <f t="shared" si="10"/>
        <v>0.6</v>
      </c>
      <c r="M25" s="279" t="str">
        <f>VLOOKUP($H$4,'RIO - M6'!$A$17:$AB$52,10)</f>
        <v>C</v>
      </c>
      <c r="N25" s="284">
        <f>VLOOKUP($H$4,'NW - M6'!$B$6:$N$41,3)</f>
        <v>2.9</v>
      </c>
      <c r="O25" s="284">
        <f>VLOOKUP($H$4,'RIO - M6'!$A$17:$AB$52,11)</f>
        <v>2.4</v>
      </c>
      <c r="P25" s="288">
        <f t="shared" si="11"/>
        <v>1.2083333333333333</v>
      </c>
      <c r="Q25" s="287"/>
      <c r="R25" s="280" t="s">
        <v>123</v>
      </c>
      <c r="S25" s="283">
        <f t="shared" si="12"/>
        <v>0.6</v>
      </c>
      <c r="T25" s="283">
        <f t="shared" si="13"/>
        <v>0.48</v>
      </c>
      <c r="U25" s="283"/>
      <c r="V25" s="283">
        <f t="shared" si="14"/>
        <v>0.6</v>
      </c>
      <c r="W25" s="279" t="str">
        <f>VLOOKUP($H$4,'RIO - M6'!$A$17:$AB$52,10)</f>
        <v>C</v>
      </c>
      <c r="X25" s="284">
        <f>VLOOKUP($H$4,'NW - M6'!$B$6:$N$41,8)</f>
        <v>2.4</v>
      </c>
      <c r="Y25" s="284">
        <f>VLOOKUP($H$4,'RIO - M6'!$A$17:$AB$52,11)</f>
        <v>2.4</v>
      </c>
      <c r="Z25" s="288">
        <f t="shared" si="15"/>
        <v>1</v>
      </c>
      <c r="AA25" s="5"/>
      <c r="AB25" s="36"/>
      <c r="AC25" s="36"/>
      <c r="AD25" s="36"/>
      <c r="AE25" s="36"/>
      <c r="AF25" s="36"/>
      <c r="AG25" s="36"/>
    </row>
    <row r="26" spans="1:33" ht="12.75" customHeight="1" x14ac:dyDescent="0.2">
      <c r="A26" s="262">
        <f>BEGINBLAD!A27</f>
        <v>22</v>
      </c>
      <c r="B26" s="264">
        <f>BEGINBLAD!B27</f>
        <v>0</v>
      </c>
      <c r="H26" s="36"/>
      <c r="I26" s="280" t="s">
        <v>122</v>
      </c>
      <c r="J26" s="283">
        <f t="shared" si="8"/>
        <v>0</v>
      </c>
      <c r="K26" s="283">
        <f t="shared" si="9"/>
        <v>0.48</v>
      </c>
      <c r="L26" s="283">
        <f t="shared" si="10"/>
        <v>0.6</v>
      </c>
      <c r="M26" s="279" t="str">
        <f>VLOOKUP($H$4,'RIO - E6'!$A$17:$AB$52,10)</f>
        <v>C</v>
      </c>
      <c r="N26" s="284">
        <f>VLOOKUP($H$4,'NW - E6'!$B$6:$N$41,3)</f>
        <v>0</v>
      </c>
      <c r="O26" s="284">
        <f>VLOOKUP($H$4,'RIO - E6'!$A$17:$AB$52,11)</f>
        <v>2.4</v>
      </c>
      <c r="P26" s="288">
        <f t="shared" si="11"/>
        <v>0</v>
      </c>
      <c r="Q26" s="287"/>
      <c r="R26" s="280" t="s">
        <v>122</v>
      </c>
      <c r="S26" s="283">
        <f t="shared" si="12"/>
        <v>0</v>
      </c>
      <c r="T26" s="283">
        <f t="shared" si="13"/>
        <v>0.48</v>
      </c>
      <c r="U26" s="283"/>
      <c r="V26" s="283">
        <f t="shared" si="14"/>
        <v>0.6</v>
      </c>
      <c r="W26" s="279" t="str">
        <f>VLOOKUP($H$4,'RIO - E6'!$A$17:$AB$52,10)</f>
        <v>C</v>
      </c>
      <c r="X26" s="284">
        <f>VLOOKUP($H$4,'NW - E6'!$B$6:$N$41,8)</f>
        <v>0</v>
      </c>
      <c r="Y26" s="284">
        <f>VLOOKUP($H$4,'RIO - E6'!$A$17:$AB$52,11)</f>
        <v>2.4</v>
      </c>
      <c r="Z26" s="288">
        <f t="shared" si="15"/>
        <v>0</v>
      </c>
      <c r="AA26" s="5"/>
      <c r="AB26" s="36"/>
      <c r="AC26" s="36"/>
      <c r="AD26" s="36"/>
      <c r="AE26" s="36"/>
      <c r="AF26" s="36"/>
      <c r="AG26" s="36"/>
    </row>
    <row r="27" spans="1:33" ht="12.75" customHeight="1" x14ac:dyDescent="0.2">
      <c r="A27" s="262">
        <f>BEGINBLAD!A28</f>
        <v>23</v>
      </c>
      <c r="B27" s="264">
        <f>BEGINBLAD!B28</f>
        <v>0</v>
      </c>
      <c r="H27" s="36"/>
      <c r="I27" s="280" t="s">
        <v>119</v>
      </c>
      <c r="J27" s="283">
        <f t="shared" si="8"/>
        <v>0</v>
      </c>
      <c r="K27" s="283">
        <f t="shared" si="9"/>
        <v>0.48</v>
      </c>
      <c r="L27" s="283">
        <f t="shared" si="10"/>
        <v>0.6</v>
      </c>
      <c r="M27" s="279" t="str">
        <f>VLOOKUP($H$4,'RIO - M7'!$A$17:$AB$52,10)</f>
        <v>C</v>
      </c>
      <c r="N27" s="284">
        <f>VLOOKUP($H$4,'NW - M7'!$B$6:$N$41,3)</f>
        <v>0</v>
      </c>
      <c r="O27" s="284">
        <f>VLOOKUP($H$4,'RIO - M7'!$A$17:$AB$52,11)</f>
        <v>2.4</v>
      </c>
      <c r="P27" s="288">
        <f t="shared" si="11"/>
        <v>0</v>
      </c>
      <c r="Q27" s="287"/>
      <c r="R27" s="280" t="s">
        <v>119</v>
      </c>
      <c r="S27" s="283">
        <f t="shared" si="12"/>
        <v>0</v>
      </c>
      <c r="T27" s="283">
        <f t="shared" si="13"/>
        <v>0.48</v>
      </c>
      <c r="U27" s="283"/>
      <c r="V27" s="283">
        <f t="shared" si="14"/>
        <v>0.6</v>
      </c>
      <c r="W27" s="279" t="str">
        <f>VLOOKUP($H$4,'RIO - M7'!$A$17:$AB$52,10)</f>
        <v>C</v>
      </c>
      <c r="X27" s="284">
        <f>VLOOKUP($H$4,'NW - M7'!$B$6:$N$41,8)</f>
        <v>0</v>
      </c>
      <c r="Y27" s="284">
        <f>VLOOKUP($H$4,'RIO - M7'!$A$17:$AB$52,11)</f>
        <v>2.4</v>
      </c>
      <c r="Z27" s="288">
        <f t="shared" si="15"/>
        <v>0</v>
      </c>
      <c r="AA27" s="5"/>
      <c r="AB27" s="36"/>
      <c r="AC27" s="36"/>
      <c r="AD27" s="36"/>
      <c r="AE27" s="36"/>
      <c r="AF27" s="36"/>
      <c r="AG27" s="36"/>
    </row>
    <row r="28" spans="1:33" ht="12.75" customHeight="1" x14ac:dyDescent="0.3">
      <c r="A28" s="262">
        <f>BEGINBLAD!A29</f>
        <v>24</v>
      </c>
      <c r="B28" s="264">
        <f>BEGINBLAD!B29</f>
        <v>0</v>
      </c>
      <c r="H28" s="36"/>
      <c r="I28" s="286" t="s">
        <v>118</v>
      </c>
      <c r="J28" s="283">
        <f t="shared" si="8"/>
        <v>0</v>
      </c>
      <c r="K28" s="283">
        <f t="shared" si="9"/>
        <v>0.48</v>
      </c>
      <c r="L28" s="283">
        <f t="shared" si="10"/>
        <v>0.6</v>
      </c>
      <c r="M28" s="279" t="str">
        <f>VLOOKUP($H$4,'RIO - E7'!$A$17:$AB$52,10)</f>
        <v>C</v>
      </c>
      <c r="N28" s="284">
        <f>VLOOKUP($H$4,'NW - E7'!$B$6:$N$41,3)</f>
        <v>0</v>
      </c>
      <c r="O28" s="284">
        <f>VLOOKUP($H$4,'RIO - E7'!$A$17:$AB$52,11)</f>
        <v>2.4</v>
      </c>
      <c r="P28" s="288">
        <f t="shared" si="11"/>
        <v>0</v>
      </c>
      <c r="Q28" s="287"/>
      <c r="R28" s="286" t="s">
        <v>118</v>
      </c>
      <c r="S28" s="283">
        <f t="shared" si="12"/>
        <v>0</v>
      </c>
      <c r="T28" s="283">
        <f t="shared" si="13"/>
        <v>0.48</v>
      </c>
      <c r="U28" s="283"/>
      <c r="V28" s="283">
        <f t="shared" si="14"/>
        <v>0.6</v>
      </c>
      <c r="W28" s="279" t="str">
        <f>VLOOKUP($H$4,'RIO - E7'!$A$17:$AB$52,10)</f>
        <v>C</v>
      </c>
      <c r="X28" s="284">
        <f>VLOOKUP($H$4,'NW - E7'!$B$6:$N$41,8)</f>
        <v>0</v>
      </c>
      <c r="Y28" s="284">
        <f>VLOOKUP($H$4,'RIO - E7'!$A$17:$AB$52,11)</f>
        <v>2.4</v>
      </c>
      <c r="Z28" s="288">
        <f t="shared" si="15"/>
        <v>0</v>
      </c>
      <c r="AA28" s="5"/>
      <c r="AB28" s="36"/>
      <c r="AC28" s="36"/>
      <c r="AD28" s="36"/>
      <c r="AE28" s="36"/>
      <c r="AF28" s="36"/>
      <c r="AG28" s="36"/>
    </row>
    <row r="29" spans="1:33" ht="12.75" customHeight="1" x14ac:dyDescent="0.2">
      <c r="A29" s="262">
        <f>BEGINBLAD!A30</f>
        <v>25</v>
      </c>
      <c r="B29" s="264">
        <f>BEGINBLAD!B30</f>
        <v>0</v>
      </c>
      <c r="H29" s="36"/>
      <c r="I29" s="280" t="s">
        <v>117</v>
      </c>
      <c r="J29" s="283">
        <f t="shared" si="8"/>
        <v>0</v>
      </c>
      <c r="K29" s="283">
        <f t="shared" si="9"/>
        <v>0.48</v>
      </c>
      <c r="L29" s="283">
        <f t="shared" si="10"/>
        <v>0.6</v>
      </c>
      <c r="M29" s="279" t="str">
        <f>VLOOKUP($H$4,'RIO - M8'!$A$17:$AB$52,10)</f>
        <v>C</v>
      </c>
      <c r="N29" s="284">
        <f>VLOOKUP($H$4,'NW - M8'!$B$6:$N$41,3)</f>
        <v>0</v>
      </c>
      <c r="O29" s="284">
        <f>VLOOKUP($H$4,'RIO - M8'!$A$17:$AB$52,11)</f>
        <v>2.4</v>
      </c>
      <c r="P29" s="288">
        <f t="shared" si="11"/>
        <v>0</v>
      </c>
      <c r="Q29" s="287"/>
      <c r="R29" s="280" t="s">
        <v>117</v>
      </c>
      <c r="S29" s="283">
        <f t="shared" si="12"/>
        <v>0</v>
      </c>
      <c r="T29" s="283">
        <f t="shared" si="13"/>
        <v>0.48</v>
      </c>
      <c r="U29" s="283"/>
      <c r="V29" s="283">
        <f t="shared" si="14"/>
        <v>0.6</v>
      </c>
      <c r="W29" s="279" t="str">
        <f>VLOOKUP($H$4,'RIO - M8'!$A$17:$AB$52,10)</f>
        <v>C</v>
      </c>
      <c r="X29" s="284">
        <f>VLOOKUP($H$4,'NW - M8'!$B$6:$N$41,8)</f>
        <v>0</v>
      </c>
      <c r="Y29" s="284">
        <f>VLOOKUP($H$4,'RIO - M8'!$A$17:$AB$52,11)</f>
        <v>2.4</v>
      </c>
      <c r="Z29" s="288">
        <f t="shared" si="15"/>
        <v>0</v>
      </c>
      <c r="AA29" s="5"/>
      <c r="AB29" s="36"/>
      <c r="AC29" s="36"/>
      <c r="AD29" s="36"/>
      <c r="AE29" s="36"/>
      <c r="AF29" s="36"/>
      <c r="AG29" s="36"/>
    </row>
    <row r="30" spans="1:33" ht="12.75" customHeight="1" x14ac:dyDescent="0.2">
      <c r="A30" s="262">
        <f>BEGINBLAD!A31</f>
        <v>26</v>
      </c>
      <c r="B30" s="264">
        <f>BEGINBLAD!B31</f>
        <v>0</v>
      </c>
      <c r="H30" s="36"/>
      <c r="I30" s="287"/>
      <c r="J30" s="287"/>
      <c r="K30" s="287"/>
      <c r="L30" s="287"/>
      <c r="M30" s="287"/>
      <c r="N30" s="287"/>
      <c r="O30" s="287"/>
      <c r="P30" s="287"/>
      <c r="Q30" s="287"/>
      <c r="R30" s="287"/>
      <c r="S30" s="287"/>
      <c r="T30" s="287"/>
      <c r="U30" s="287"/>
      <c r="V30" s="287"/>
      <c r="W30" s="287"/>
      <c r="X30" s="280"/>
      <c r="Y30" s="280"/>
      <c r="Z30" s="280"/>
      <c r="AA30" s="5"/>
      <c r="AB30" s="36"/>
      <c r="AC30" s="36"/>
      <c r="AD30" s="36"/>
      <c r="AE30" s="36"/>
      <c r="AF30" s="36"/>
      <c r="AG30" s="36"/>
    </row>
    <row r="31" spans="1:33" ht="12.75" customHeight="1" x14ac:dyDescent="0.2">
      <c r="A31" s="262">
        <f>BEGINBLAD!A32</f>
        <v>27</v>
      </c>
      <c r="B31" s="264">
        <f>BEGINBLAD!B32</f>
        <v>0</v>
      </c>
      <c r="H31" s="32"/>
      <c r="I31" s="293"/>
      <c r="J31" s="293"/>
      <c r="K31" s="293"/>
      <c r="L31" s="293"/>
      <c r="M31" s="287"/>
      <c r="N31" s="287"/>
      <c r="O31" s="287"/>
      <c r="P31" s="287"/>
      <c r="Q31" s="287"/>
      <c r="R31" s="287"/>
      <c r="S31" s="287"/>
      <c r="T31" s="287"/>
      <c r="U31" s="287"/>
      <c r="V31" s="287"/>
      <c r="W31" s="287"/>
      <c r="X31" s="280"/>
      <c r="Y31" s="280"/>
      <c r="Z31" s="280"/>
      <c r="AA31" s="5"/>
      <c r="AB31" s="36"/>
      <c r="AC31" s="36"/>
      <c r="AD31" s="36"/>
      <c r="AE31" s="36"/>
      <c r="AF31" s="36"/>
      <c r="AG31" s="36"/>
    </row>
    <row r="32" spans="1:33" ht="15" x14ac:dyDescent="0.3">
      <c r="A32" s="262">
        <f>BEGINBLAD!A33</f>
        <v>28</v>
      </c>
      <c r="B32" s="264">
        <f>BEGINBLAD!B33</f>
        <v>0</v>
      </c>
      <c r="H32" s="32"/>
      <c r="I32" s="362" t="s">
        <v>140</v>
      </c>
      <c r="J32" s="362"/>
      <c r="K32" s="362"/>
      <c r="L32" s="362"/>
      <c r="M32" s="281"/>
      <c r="N32" s="282"/>
      <c r="O32" s="287"/>
      <c r="P32" s="287"/>
      <c r="Q32" s="287"/>
      <c r="R32" s="362" t="s">
        <v>139</v>
      </c>
      <c r="S32" s="362"/>
      <c r="T32" s="362"/>
      <c r="U32" s="362"/>
      <c r="V32" s="362"/>
      <c r="W32" s="281"/>
      <c r="X32" s="282"/>
      <c r="Y32" s="287"/>
      <c r="Z32" s="287"/>
      <c r="AA32" s="5"/>
      <c r="AB32" s="36"/>
      <c r="AC32" s="36"/>
      <c r="AD32" s="36"/>
      <c r="AE32" s="36"/>
      <c r="AF32" s="36"/>
      <c r="AG32" s="36"/>
    </row>
    <row r="33" spans="1:33" x14ac:dyDescent="0.2">
      <c r="A33" s="262">
        <f>BEGINBLAD!A34</f>
        <v>29</v>
      </c>
      <c r="B33" s="264">
        <f>BEGINBLAD!B34</f>
        <v>0</v>
      </c>
      <c r="H33" s="32"/>
      <c r="I33" s="280" t="s">
        <v>128</v>
      </c>
      <c r="J33" s="280" t="s">
        <v>129</v>
      </c>
      <c r="K33" s="280" t="s">
        <v>114</v>
      </c>
      <c r="L33" s="280" t="s">
        <v>101</v>
      </c>
      <c r="M33" s="280" t="s">
        <v>88</v>
      </c>
      <c r="N33" s="280" t="s">
        <v>132</v>
      </c>
      <c r="O33" s="280" t="s">
        <v>131</v>
      </c>
      <c r="P33" s="280" t="s">
        <v>133</v>
      </c>
      <c r="Q33" s="287"/>
      <c r="R33" s="280" t="s">
        <v>128</v>
      </c>
      <c r="S33" s="280" t="s">
        <v>129</v>
      </c>
      <c r="T33" s="280" t="s">
        <v>114</v>
      </c>
      <c r="U33" s="280"/>
      <c r="V33" s="280" t="s">
        <v>101</v>
      </c>
      <c r="W33" s="280" t="s">
        <v>88</v>
      </c>
      <c r="X33" s="280" t="s">
        <v>132</v>
      </c>
      <c r="Y33" s="280" t="s">
        <v>131</v>
      </c>
      <c r="Z33" s="280" t="s">
        <v>133</v>
      </c>
      <c r="AA33" s="5"/>
      <c r="AB33" s="36"/>
      <c r="AC33" s="36"/>
      <c r="AD33" s="36"/>
      <c r="AE33" s="36"/>
      <c r="AF33" s="36"/>
      <c r="AG33" s="36"/>
    </row>
    <row r="34" spans="1:33" x14ac:dyDescent="0.2">
      <c r="A34" s="262">
        <f>BEGINBLAD!A35</f>
        <v>30</v>
      </c>
      <c r="B34" s="264">
        <f>BEGINBLAD!B35</f>
        <v>0</v>
      </c>
      <c r="H34" s="32"/>
      <c r="I34" s="280" t="s">
        <v>127</v>
      </c>
      <c r="J34" s="283">
        <f t="shared" ref="J34:J42" si="16">P34*L34</f>
        <v>0.77500000000000002</v>
      </c>
      <c r="K34" s="283">
        <f t="shared" ref="K34:K42" si="17">0.8*L34</f>
        <v>0.64000000000000012</v>
      </c>
      <c r="L34" s="283">
        <f t="shared" ref="L34:L42" si="18">IF(M34="A",1,IF(M34="B",0.8,IF(M34="C",0.6,IF(M34="D",0.4,IF(M34="E",0.2)))))</f>
        <v>0.8</v>
      </c>
      <c r="M34" s="279" t="str">
        <f>VLOOKUP($H$4,'RIO - M4'!$A$17:$AB$52,10)</f>
        <v>B</v>
      </c>
      <c r="N34" s="284">
        <f>VLOOKUP($H$4,'NW - M4'!$B$6:$N$41,5)</f>
        <v>3.1</v>
      </c>
      <c r="O34" s="284">
        <f>VLOOKUP($H$4,'RIO - M4'!$A$17:$AB$52,11)</f>
        <v>3.2</v>
      </c>
      <c r="P34" s="288">
        <f t="shared" ref="P34:P42" si="19">(N34/O34)</f>
        <v>0.96875</v>
      </c>
      <c r="Q34" s="287"/>
      <c r="R34" s="280" t="s">
        <v>127</v>
      </c>
      <c r="S34" s="283">
        <f t="shared" ref="S34:S42" si="20">Z34*V34</f>
        <v>0.25</v>
      </c>
      <c r="T34" s="283">
        <f t="shared" ref="T34:T42" si="21">0.8*V34</f>
        <v>0.64000000000000012</v>
      </c>
      <c r="U34" s="283"/>
      <c r="V34" s="283">
        <f t="shared" ref="V34:V42" si="22">IF(W34="A",1,IF(W34="B",0.8,IF(W34="C",0.6,IF(W34="D",0.4,IF(W34="E",0.2)))))</f>
        <v>0.8</v>
      </c>
      <c r="W34" s="279" t="str">
        <f>VLOOKUP($H$4,'RIO - M4'!$A$17:$AB$52,10)</f>
        <v>B</v>
      </c>
      <c r="X34" s="284">
        <f>VLOOKUP($H$4,'NW - M4'!$B$6:$N$41,7)</f>
        <v>1</v>
      </c>
      <c r="Y34" s="284">
        <f>VLOOKUP($H$4,'RIO - M4'!$A$17:$AB$52,11)</f>
        <v>3.2</v>
      </c>
      <c r="Z34" s="288">
        <f t="shared" ref="Z34:Z42" si="23">(X34/Y34)</f>
        <v>0.3125</v>
      </c>
      <c r="AA34" s="5"/>
      <c r="AB34" s="36"/>
    </row>
    <row r="35" spans="1:33" ht="15" x14ac:dyDescent="0.3">
      <c r="A35" s="262">
        <f>BEGINBLAD!A36</f>
        <v>31</v>
      </c>
      <c r="B35" s="264">
        <f>BEGINBLAD!B36</f>
        <v>0</v>
      </c>
      <c r="H35" s="252"/>
      <c r="I35" s="280" t="s">
        <v>126</v>
      </c>
      <c r="J35" s="283">
        <f t="shared" si="16"/>
        <v>0.72499999999999998</v>
      </c>
      <c r="K35" s="283">
        <f t="shared" si="17"/>
        <v>0.64000000000000012</v>
      </c>
      <c r="L35" s="283">
        <f t="shared" si="18"/>
        <v>0.8</v>
      </c>
      <c r="M35" s="279" t="str">
        <f>VLOOKUP($H$4,'RIO - E4'!$A$17:$AB$52,10)</f>
        <v>B</v>
      </c>
      <c r="N35" s="284">
        <f>VLOOKUP($H$4,'NW - E4'!$B$6:$N$41,5)</f>
        <v>2.9</v>
      </c>
      <c r="O35" s="284">
        <f>VLOOKUP($H$4,'RIO - E4'!$A$17:$AB$52,11)</f>
        <v>3.2</v>
      </c>
      <c r="P35" s="288">
        <f t="shared" si="19"/>
        <v>0.90624999999999989</v>
      </c>
      <c r="Q35" s="287"/>
      <c r="R35" s="280" t="s">
        <v>126</v>
      </c>
      <c r="S35" s="283">
        <f t="shared" si="20"/>
        <v>0.77500000000000002</v>
      </c>
      <c r="T35" s="283">
        <f t="shared" si="21"/>
        <v>0.64000000000000012</v>
      </c>
      <c r="U35" s="283"/>
      <c r="V35" s="283">
        <f t="shared" si="22"/>
        <v>0.8</v>
      </c>
      <c r="W35" s="279" t="str">
        <f>VLOOKUP($H$4,'RIO - E4'!$A$17:$AB$52,10)</f>
        <v>B</v>
      </c>
      <c r="X35" s="284">
        <f>VLOOKUP($H$4,'NW - E4'!$B$6:$N$41,7)</f>
        <v>3.1</v>
      </c>
      <c r="Y35" s="284">
        <f>VLOOKUP($H$4,'RIO - E4'!$A$17:$AB$52,11)</f>
        <v>3.2</v>
      </c>
      <c r="Z35" s="288">
        <f t="shared" si="23"/>
        <v>0.96875</v>
      </c>
      <c r="AA35" s="5"/>
      <c r="AB35" s="36"/>
    </row>
    <row r="36" spans="1:33" x14ac:dyDescent="0.2">
      <c r="A36" s="262">
        <f>BEGINBLAD!A37</f>
        <v>32</v>
      </c>
      <c r="B36" s="264">
        <f>BEGINBLAD!B37</f>
        <v>0</v>
      </c>
      <c r="H36" s="253"/>
      <c r="I36" s="280" t="s">
        <v>125</v>
      </c>
      <c r="J36" s="283">
        <f t="shared" si="16"/>
        <v>0.8</v>
      </c>
      <c r="K36" s="283">
        <f t="shared" si="17"/>
        <v>0.48</v>
      </c>
      <c r="L36" s="283">
        <f t="shared" si="18"/>
        <v>0.6</v>
      </c>
      <c r="M36" s="279" t="str">
        <f>VLOOKUP($H$4,'RIO - M5'!$A$17:$AB$52,10)</f>
        <v>C</v>
      </c>
      <c r="N36" s="284">
        <f>VLOOKUP($H$4,'NW - M5'!$B$6:$N$41,5)</f>
        <v>3.2</v>
      </c>
      <c r="O36" s="284">
        <f>VLOOKUP($H$4,'RIO - M5'!$A$17:$AB$52,11)</f>
        <v>2.4</v>
      </c>
      <c r="P36" s="288">
        <f t="shared" si="19"/>
        <v>1.3333333333333335</v>
      </c>
      <c r="Q36" s="287"/>
      <c r="R36" s="280" t="s">
        <v>125</v>
      </c>
      <c r="S36" s="283">
        <f t="shared" si="20"/>
        <v>0.25</v>
      </c>
      <c r="T36" s="283">
        <f t="shared" si="21"/>
        <v>0.48</v>
      </c>
      <c r="U36" s="283"/>
      <c r="V36" s="283">
        <f t="shared" si="22"/>
        <v>0.6</v>
      </c>
      <c r="W36" s="279" t="str">
        <f>VLOOKUP($H$4,'RIO - M5'!$A$17:$AB$52,10)</f>
        <v>C</v>
      </c>
      <c r="X36" s="284">
        <f>VLOOKUP($H$4,'NW - M5'!$B$6:$N$41,7)</f>
        <v>1</v>
      </c>
      <c r="Y36" s="284">
        <f>VLOOKUP($H$4,'RIO - M5'!$A$17:$AB$52,11)</f>
        <v>2.4</v>
      </c>
      <c r="Z36" s="288">
        <f t="shared" si="23"/>
        <v>0.41666666666666669</v>
      </c>
      <c r="AA36" s="5"/>
      <c r="AB36" s="36"/>
    </row>
    <row r="37" spans="1:33" x14ac:dyDescent="0.2">
      <c r="A37" s="262">
        <f>BEGINBLAD!A38</f>
        <v>33</v>
      </c>
      <c r="B37" s="264">
        <f>BEGINBLAD!B38</f>
        <v>0</v>
      </c>
      <c r="H37" s="135"/>
      <c r="I37" s="280" t="s">
        <v>124</v>
      </c>
      <c r="J37" s="283">
        <f t="shared" si="16"/>
        <v>0.67500000000000016</v>
      </c>
      <c r="K37" s="283">
        <f t="shared" si="17"/>
        <v>0.48</v>
      </c>
      <c r="L37" s="283">
        <f t="shared" si="18"/>
        <v>0.6</v>
      </c>
      <c r="M37" s="279" t="str">
        <f>VLOOKUP($H$4,'RIO - E5'!$A$17:$AB$52,10)</f>
        <v>C</v>
      </c>
      <c r="N37" s="284">
        <f>VLOOKUP($H$4,'NW - E5'!$B$6:$N$41,5)</f>
        <v>2.7</v>
      </c>
      <c r="O37" s="284">
        <f>VLOOKUP($H$4,'RIO - E5'!$A$17:$AB$52,11)</f>
        <v>2.4</v>
      </c>
      <c r="P37" s="288">
        <f t="shared" si="19"/>
        <v>1.1250000000000002</v>
      </c>
      <c r="Q37" s="287"/>
      <c r="R37" s="280" t="s">
        <v>124</v>
      </c>
      <c r="S37" s="283">
        <f t="shared" si="20"/>
        <v>0.6</v>
      </c>
      <c r="T37" s="283">
        <f t="shared" si="21"/>
        <v>0.48</v>
      </c>
      <c r="U37" s="283"/>
      <c r="V37" s="283">
        <f t="shared" si="22"/>
        <v>0.6</v>
      </c>
      <c r="W37" s="279" t="str">
        <f>VLOOKUP($H$4,'RIO - E5'!$A$17:$AB$52,10)</f>
        <v>C</v>
      </c>
      <c r="X37" s="284">
        <f>VLOOKUP($H$4,'NW - E5'!$B$6:$N$41,7)</f>
        <v>2.4</v>
      </c>
      <c r="Y37" s="284">
        <f>VLOOKUP($H$4,'RIO - E5'!$A$17:$AB$52,11)</f>
        <v>2.4</v>
      </c>
      <c r="Z37" s="288">
        <f t="shared" si="23"/>
        <v>1</v>
      </c>
      <c r="AA37" s="253"/>
      <c r="AB37" s="36"/>
    </row>
    <row r="38" spans="1:33" x14ac:dyDescent="0.2">
      <c r="A38" s="262">
        <f>BEGINBLAD!A39</f>
        <v>34</v>
      </c>
      <c r="B38" s="264">
        <f>BEGINBLAD!B39</f>
        <v>0</v>
      </c>
      <c r="I38" s="280" t="s">
        <v>123</v>
      </c>
      <c r="J38" s="283">
        <f t="shared" si="16"/>
        <v>0.55000000000000004</v>
      </c>
      <c r="K38" s="283">
        <f t="shared" si="17"/>
        <v>0.48</v>
      </c>
      <c r="L38" s="283">
        <f t="shared" si="18"/>
        <v>0.6</v>
      </c>
      <c r="M38" s="279" t="str">
        <f>VLOOKUP($H$4,'RIO - M6'!$A$17:$AB$52,10)</f>
        <v>C</v>
      </c>
      <c r="N38" s="284">
        <f>VLOOKUP($H$4,'NW - M6'!$B$6:$N$41,5)</f>
        <v>2.2000000000000002</v>
      </c>
      <c r="O38" s="284">
        <f>VLOOKUP($H$4,'RIO - M6'!$A$17:$AB$52,11)</f>
        <v>2.4</v>
      </c>
      <c r="P38" s="288">
        <f t="shared" si="19"/>
        <v>0.91666666666666674</v>
      </c>
      <c r="Q38" s="287"/>
      <c r="R38" s="280" t="s">
        <v>123</v>
      </c>
      <c r="S38" s="283">
        <f t="shared" si="20"/>
        <v>0.4</v>
      </c>
      <c r="T38" s="283">
        <f t="shared" si="21"/>
        <v>0.48</v>
      </c>
      <c r="U38" s="283"/>
      <c r="V38" s="283">
        <f t="shared" si="22"/>
        <v>0.6</v>
      </c>
      <c r="W38" s="279" t="str">
        <f>VLOOKUP($H$4,'RIO - M6'!$A$17:$AB$52,10)</f>
        <v>C</v>
      </c>
      <c r="X38" s="284">
        <f>VLOOKUP($H$4,'NW - M6'!$B$6:$N$41,7)</f>
        <v>1.6</v>
      </c>
      <c r="Y38" s="284">
        <f>VLOOKUP($H$4,'RIO - M6'!$A$17:$AB$52,11)</f>
        <v>2.4</v>
      </c>
      <c r="Z38" s="288">
        <f t="shared" si="23"/>
        <v>0.66666666666666674</v>
      </c>
      <c r="AA38" s="253"/>
      <c r="AB38" s="36"/>
    </row>
    <row r="39" spans="1:33" x14ac:dyDescent="0.2">
      <c r="A39" s="262">
        <f>BEGINBLAD!A40</f>
        <v>35</v>
      </c>
      <c r="B39" s="264">
        <f>BEGINBLAD!B40</f>
        <v>0</v>
      </c>
      <c r="I39" s="280" t="s">
        <v>122</v>
      </c>
      <c r="J39" s="283">
        <f t="shared" si="16"/>
        <v>0</v>
      </c>
      <c r="K39" s="283">
        <f t="shared" si="17"/>
        <v>0.48</v>
      </c>
      <c r="L39" s="283">
        <f t="shared" si="18"/>
        <v>0.6</v>
      </c>
      <c r="M39" s="279" t="str">
        <f>VLOOKUP($H$4,'RIO - E6'!$A$17:$AB$52,10)</f>
        <v>C</v>
      </c>
      <c r="N39" s="284">
        <f>VLOOKUP($H$4,'NW - E6'!$B$6:$N$41,5)</f>
        <v>0</v>
      </c>
      <c r="O39" s="284">
        <f>VLOOKUP($H$4,'RIO - E6'!$A$17:$AB$52,11)</f>
        <v>2.4</v>
      </c>
      <c r="P39" s="288">
        <f t="shared" si="19"/>
        <v>0</v>
      </c>
      <c r="Q39" s="287"/>
      <c r="R39" s="280" t="s">
        <v>122</v>
      </c>
      <c r="S39" s="283">
        <f t="shared" si="20"/>
        <v>0</v>
      </c>
      <c r="T39" s="283">
        <f t="shared" si="21"/>
        <v>0.48</v>
      </c>
      <c r="U39" s="283"/>
      <c r="V39" s="283">
        <f t="shared" si="22"/>
        <v>0.6</v>
      </c>
      <c r="W39" s="279" t="str">
        <f>VLOOKUP($H$4,'RIO - E6'!$A$17:$AB$52,10)</f>
        <v>C</v>
      </c>
      <c r="X39" s="284">
        <f>VLOOKUP($H$4,'NW - E6'!$B$6:$N$41,7)</f>
        <v>0</v>
      </c>
      <c r="Y39" s="284">
        <f>VLOOKUP($H$4,'RIO - E6'!$A$17:$AB$52,11)</f>
        <v>2.4</v>
      </c>
      <c r="Z39" s="288">
        <f t="shared" si="23"/>
        <v>0</v>
      </c>
      <c r="AA39" s="253"/>
      <c r="AB39" s="36"/>
    </row>
    <row r="40" spans="1:33" x14ac:dyDescent="0.2">
      <c r="A40" s="262">
        <f>BEGINBLAD!A41</f>
        <v>36</v>
      </c>
      <c r="B40" s="264">
        <f>BEGINBLAD!B41</f>
        <v>0</v>
      </c>
      <c r="I40" s="280" t="s">
        <v>119</v>
      </c>
      <c r="J40" s="283">
        <f t="shared" si="16"/>
        <v>0</v>
      </c>
      <c r="K40" s="283">
        <f t="shared" si="17"/>
        <v>0.48</v>
      </c>
      <c r="L40" s="283">
        <f t="shared" si="18"/>
        <v>0.6</v>
      </c>
      <c r="M40" s="279" t="str">
        <f>VLOOKUP($H$4,'RIO - M7'!$A$17:$AB$52,10)</f>
        <v>C</v>
      </c>
      <c r="N40" s="284">
        <f>VLOOKUP($H$4,'NW - M7'!$B$6:$N$41,5)</f>
        <v>0</v>
      </c>
      <c r="O40" s="284">
        <f>VLOOKUP($H$4,'RIO - M7'!$A$17:$AB$52,11)</f>
        <v>2.4</v>
      </c>
      <c r="P40" s="288">
        <f t="shared" si="19"/>
        <v>0</v>
      </c>
      <c r="Q40" s="287"/>
      <c r="R40" s="280" t="s">
        <v>119</v>
      </c>
      <c r="S40" s="283">
        <f t="shared" si="20"/>
        <v>0</v>
      </c>
      <c r="T40" s="283">
        <f t="shared" si="21"/>
        <v>0.48</v>
      </c>
      <c r="U40" s="283"/>
      <c r="V40" s="283">
        <f t="shared" si="22"/>
        <v>0.6</v>
      </c>
      <c r="W40" s="279" t="str">
        <f>VLOOKUP($H$4,'RIO - M7'!$A$17:$AB$52,10)</f>
        <v>C</v>
      </c>
      <c r="X40" s="284">
        <f>VLOOKUP($H$4,'NW - M7'!$B$6:$N$41,7)</f>
        <v>0</v>
      </c>
      <c r="Y40" s="284">
        <f>VLOOKUP($H$4,'RIO - M7'!$A$17:$AB$52,11)</f>
        <v>2.4</v>
      </c>
      <c r="Z40" s="288">
        <f t="shared" si="23"/>
        <v>0</v>
      </c>
      <c r="AA40" s="253"/>
      <c r="AB40" s="36"/>
    </row>
    <row r="41" spans="1:33" ht="15" x14ac:dyDescent="0.3">
      <c r="I41" s="286" t="s">
        <v>118</v>
      </c>
      <c r="J41" s="283">
        <f t="shared" si="16"/>
        <v>0</v>
      </c>
      <c r="K41" s="283">
        <f t="shared" si="17"/>
        <v>0.48</v>
      </c>
      <c r="L41" s="283">
        <f t="shared" si="18"/>
        <v>0.6</v>
      </c>
      <c r="M41" s="279" t="str">
        <f>VLOOKUP($H$4,'RIO - E7'!$A$17:$AB$52,10)</f>
        <v>C</v>
      </c>
      <c r="N41" s="284">
        <f>VLOOKUP($H$4,'NW - E7'!$B$6:$N$41,5)</f>
        <v>0</v>
      </c>
      <c r="O41" s="284">
        <f>VLOOKUP($H$4,'RIO - E7'!$A$17:$AB$52,11)</f>
        <v>2.4</v>
      </c>
      <c r="P41" s="288">
        <f t="shared" si="19"/>
        <v>0</v>
      </c>
      <c r="Q41" s="287"/>
      <c r="R41" s="286" t="s">
        <v>118</v>
      </c>
      <c r="S41" s="283">
        <f t="shared" si="20"/>
        <v>0</v>
      </c>
      <c r="T41" s="283">
        <f t="shared" si="21"/>
        <v>0.48</v>
      </c>
      <c r="U41" s="283"/>
      <c r="V41" s="283">
        <f t="shared" si="22"/>
        <v>0.6</v>
      </c>
      <c r="W41" s="279" t="str">
        <f>VLOOKUP($H$4,'RIO - E7'!$A$17:$AB$52,10)</f>
        <v>C</v>
      </c>
      <c r="X41" s="284">
        <f>VLOOKUP($H$4,'NW - E7'!$B$6:$N$41,7)</f>
        <v>0</v>
      </c>
      <c r="Y41" s="284">
        <f>VLOOKUP($H$4,'RIO - E7'!$A$17:$AB$52,11)</f>
        <v>2.4</v>
      </c>
      <c r="Z41" s="288">
        <f t="shared" si="23"/>
        <v>0</v>
      </c>
      <c r="AA41" s="253"/>
      <c r="AB41" s="36"/>
    </row>
    <row r="42" spans="1:33" x14ac:dyDescent="0.2">
      <c r="I42" s="280" t="s">
        <v>117</v>
      </c>
      <c r="J42" s="283">
        <f t="shared" si="16"/>
        <v>0</v>
      </c>
      <c r="K42" s="283">
        <f t="shared" si="17"/>
        <v>0.48</v>
      </c>
      <c r="L42" s="283">
        <f t="shared" si="18"/>
        <v>0.6</v>
      </c>
      <c r="M42" s="279" t="str">
        <f>VLOOKUP($H$4,'RIO - M8'!$A$17:$AB$52,10)</f>
        <v>C</v>
      </c>
      <c r="N42" s="284">
        <f>VLOOKUP($H$4,'NW - M8'!$B$6:$N$41,5)</f>
        <v>0</v>
      </c>
      <c r="O42" s="284">
        <f>VLOOKUP($H$4,'RIO - M8'!$A$17:$AB$52,11)</f>
        <v>2.4</v>
      </c>
      <c r="P42" s="288">
        <f t="shared" si="19"/>
        <v>0</v>
      </c>
      <c r="Q42" s="287"/>
      <c r="R42" s="280" t="s">
        <v>117</v>
      </c>
      <c r="S42" s="283">
        <f t="shared" si="20"/>
        <v>0</v>
      </c>
      <c r="T42" s="283">
        <f t="shared" si="21"/>
        <v>0.48</v>
      </c>
      <c r="U42" s="283"/>
      <c r="V42" s="283">
        <f t="shared" si="22"/>
        <v>0.6</v>
      </c>
      <c r="W42" s="279" t="str">
        <f>VLOOKUP($H$4,'RIO - M8'!$A$17:$AB$52,10)</f>
        <v>C</v>
      </c>
      <c r="X42" s="284">
        <f>VLOOKUP($H$4,'NW - M8'!$B$6:$N$41,7)</f>
        <v>0</v>
      </c>
      <c r="Y42" s="284">
        <f>VLOOKUP($H$4,'RIO - M8'!$A$17:$AB$52,11)</f>
        <v>2.4</v>
      </c>
      <c r="Z42" s="288">
        <f t="shared" si="23"/>
        <v>0</v>
      </c>
      <c r="AA42" s="253"/>
      <c r="AB42" s="36"/>
    </row>
    <row r="43" spans="1:33" x14ac:dyDescent="0.2">
      <c r="I43" s="291"/>
      <c r="J43" s="291"/>
      <c r="K43" s="291"/>
      <c r="L43" s="291"/>
      <c r="M43" s="291"/>
      <c r="N43" s="291"/>
      <c r="O43" s="291"/>
      <c r="P43" s="291"/>
      <c r="Q43" s="291"/>
      <c r="R43" s="291"/>
      <c r="S43" s="291"/>
      <c r="T43" s="291"/>
      <c r="U43" s="291"/>
      <c r="V43" s="291"/>
      <c r="W43" s="291"/>
      <c r="X43" s="5"/>
      <c r="Y43" s="5"/>
      <c r="Z43" s="5"/>
      <c r="AA43" s="253"/>
      <c r="AB43" s="36"/>
    </row>
    <row r="44" spans="1:33" x14ac:dyDescent="0.2">
      <c r="I44" s="36"/>
      <c r="J44" s="36"/>
      <c r="K44" s="36"/>
      <c r="L44" s="36"/>
      <c r="M44" s="36"/>
      <c r="N44" s="36"/>
      <c r="O44" s="36"/>
      <c r="P44" s="36"/>
      <c r="Q44" s="36"/>
      <c r="R44" s="36"/>
      <c r="S44" s="36"/>
      <c r="T44" s="36"/>
      <c r="U44" s="36"/>
      <c r="V44" s="36"/>
      <c r="W44" s="36"/>
      <c r="X44" s="253"/>
      <c r="Y44" s="253"/>
      <c r="Z44" s="253"/>
      <c r="AA44" s="253"/>
      <c r="AB44" s="36"/>
    </row>
    <row r="45" spans="1:33" x14ac:dyDescent="0.2">
      <c r="I45" s="36"/>
      <c r="J45" s="36"/>
      <c r="K45" s="36"/>
      <c r="L45" s="36"/>
      <c r="M45" s="36"/>
      <c r="N45" s="36"/>
      <c r="O45" s="36"/>
      <c r="P45" s="36"/>
      <c r="Q45" s="36"/>
      <c r="R45" s="36"/>
      <c r="S45" s="36"/>
      <c r="T45" s="36"/>
      <c r="U45" s="36"/>
      <c r="V45" s="36"/>
      <c r="W45" s="36"/>
      <c r="X45" s="253"/>
      <c r="Y45" s="253"/>
      <c r="Z45" s="253"/>
      <c r="AA45" s="253"/>
      <c r="AB45" s="36"/>
    </row>
    <row r="46" spans="1:33" x14ac:dyDescent="0.2">
      <c r="I46" s="36"/>
      <c r="J46" s="36"/>
      <c r="K46" s="36"/>
      <c r="L46" s="36"/>
      <c r="M46" s="36"/>
      <c r="N46" s="36"/>
      <c r="O46" s="36"/>
      <c r="P46" s="36"/>
      <c r="Q46" s="36"/>
      <c r="R46" s="36"/>
      <c r="S46" s="36"/>
      <c r="T46" s="36"/>
      <c r="U46" s="36"/>
      <c r="V46" s="36"/>
      <c r="W46" s="36"/>
      <c r="X46" s="253"/>
      <c r="Y46" s="253"/>
      <c r="Z46" s="253"/>
      <c r="AA46" s="253"/>
      <c r="AB46" s="36"/>
    </row>
    <row r="47" spans="1:33" x14ac:dyDescent="0.2">
      <c r="I47" s="36"/>
      <c r="J47" s="36"/>
      <c r="K47" s="36"/>
      <c r="L47" s="36"/>
      <c r="M47" s="36"/>
      <c r="N47" s="36"/>
      <c r="O47" s="36"/>
      <c r="P47" s="36"/>
      <c r="Q47" s="36"/>
      <c r="R47" s="36"/>
      <c r="S47" s="36"/>
      <c r="T47" s="36"/>
      <c r="U47" s="36"/>
      <c r="V47" s="36"/>
      <c r="W47" s="36"/>
      <c r="X47" s="253"/>
      <c r="Y47" s="253"/>
      <c r="Z47" s="253"/>
      <c r="AA47" s="253"/>
      <c r="AB47" s="36"/>
    </row>
    <row r="48" spans="1:33" x14ac:dyDescent="0.2">
      <c r="I48" s="36"/>
      <c r="J48" s="36"/>
      <c r="K48" s="36"/>
      <c r="L48" s="36"/>
      <c r="M48" s="36"/>
      <c r="N48" s="36"/>
      <c r="O48" s="36"/>
      <c r="P48" s="36"/>
      <c r="Q48" s="36"/>
      <c r="R48" s="36"/>
      <c r="S48" s="36"/>
      <c r="T48" s="36"/>
      <c r="U48" s="36"/>
      <c r="V48" s="36"/>
      <c r="W48" s="36"/>
      <c r="X48" s="253"/>
      <c r="Y48" s="253"/>
      <c r="Z48" s="253"/>
      <c r="AA48" s="253"/>
      <c r="AB48" s="36"/>
    </row>
    <row r="49" spans="9:28" x14ac:dyDescent="0.2">
      <c r="I49" s="36"/>
      <c r="J49" s="36"/>
      <c r="K49" s="36"/>
      <c r="L49" s="36"/>
      <c r="M49" s="36"/>
      <c r="N49" s="36"/>
      <c r="O49" s="36"/>
      <c r="P49" s="36"/>
      <c r="Q49" s="36"/>
      <c r="R49" s="36"/>
      <c r="S49" s="36"/>
      <c r="T49" s="36"/>
      <c r="U49" s="36"/>
      <c r="V49" s="36"/>
      <c r="W49" s="36"/>
      <c r="X49" s="253"/>
      <c r="Y49" s="253"/>
      <c r="Z49" s="253"/>
      <c r="AA49" s="253"/>
      <c r="AB49" s="36"/>
    </row>
    <row r="50" spans="9:28" x14ac:dyDescent="0.2">
      <c r="I50" s="36"/>
      <c r="J50" s="36"/>
      <c r="K50" s="36"/>
      <c r="L50" s="36"/>
      <c r="M50" s="36"/>
      <c r="N50" s="36"/>
      <c r="O50" s="36"/>
      <c r="P50" s="36"/>
      <c r="Q50" s="36"/>
      <c r="R50" s="36"/>
      <c r="S50" s="36"/>
      <c r="T50" s="36"/>
      <c r="U50" s="36"/>
      <c r="V50" s="36"/>
      <c r="W50" s="36"/>
      <c r="X50" s="253"/>
      <c r="Y50" s="253"/>
      <c r="Z50" s="253"/>
      <c r="AA50" s="253"/>
      <c r="AB50" s="36"/>
    </row>
    <row r="51" spans="9:28" x14ac:dyDescent="0.2">
      <c r="I51" s="36"/>
      <c r="J51" s="36"/>
      <c r="K51" s="36"/>
      <c r="L51" s="36"/>
      <c r="M51" s="36"/>
      <c r="N51" s="36"/>
      <c r="O51" s="36"/>
      <c r="P51" s="36"/>
      <c r="Q51" s="36"/>
      <c r="R51" s="36"/>
      <c r="S51" s="36"/>
      <c r="T51" s="36"/>
      <c r="U51" s="36"/>
      <c r="V51" s="36"/>
      <c r="W51" s="36"/>
      <c r="X51" s="253"/>
      <c r="Y51" s="253"/>
      <c r="Z51" s="253"/>
      <c r="AA51" s="253"/>
      <c r="AB51" s="36"/>
    </row>
  </sheetData>
  <sheetProtection algorithmName="SHA-512" hashValue="/uHnoFaJfxGO5kqelQICT0IDF6BlalBMdLUOneq0cRtaBK7yNXA9QYu1UoAPvE+dt3Tr6yDBaVltOZll3Eg3uQ==" saltValue="qZidtpBVaFaG9gSOgpZMSg==" spinCount="100000" sheet="1" objects="1" scenarios="1"/>
  <mergeCells count="13">
    <mergeCell ref="I4:T4"/>
    <mergeCell ref="E4:G4"/>
    <mergeCell ref="O2:P2"/>
    <mergeCell ref="D2:E2"/>
    <mergeCell ref="I2:J2"/>
    <mergeCell ref="K2:L2"/>
    <mergeCell ref="M2:N2"/>
    <mergeCell ref="I19:L19"/>
    <mergeCell ref="I32:L32"/>
    <mergeCell ref="R7:V7"/>
    <mergeCell ref="R19:V19"/>
    <mergeCell ref="R32:V32"/>
    <mergeCell ref="I7:L7"/>
  </mergeCells>
  <phoneticPr fontId="3" type="noConversion"/>
  <pageMargins left="0.12" right="0.25" top="0.8" bottom="0.27" header="0.33" footer="0.14000000000000001"/>
  <pageSetup paperSize="9" scale="47" orientation="landscape" horizontalDpi="4294967293" r:id="rId1"/>
  <headerFooter alignWithMargins="0">
    <oddHeader>&amp;C&amp;14Totaal Ontwikkelings Perspectief (TOP)</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1"/>
  </sheetPr>
  <dimension ref="A1:BG72"/>
  <sheetViews>
    <sheetView showGridLines="0" showRowColHeaders="0" zoomScale="85" zoomScaleNormal="85" workbookViewId="0">
      <selection activeCell="AA33" sqref="AA33"/>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29">
        <v>4</v>
      </c>
      <c r="K1" s="331"/>
      <c r="L1" s="244"/>
      <c r="M1" s="32"/>
      <c r="N1" s="323" t="s">
        <v>23</v>
      </c>
      <c r="O1" s="323"/>
      <c r="P1" s="214"/>
      <c r="Q1" s="214"/>
      <c r="U1" s="5" t="b">
        <f>IF($J$1=3,"ja",IF($J$1="3A","ja",IF($J$1="3B","ja",IF($J$1="3C","ja"))))</f>
        <v>0</v>
      </c>
      <c r="X1" s="5" t="str">
        <f>IF($J$1=4,"ja",IF($J$1="4A","ja",IF($J$1="4B","ja",IF($J$1="4C","ja"))))</f>
        <v>ja</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0"/>
      <c r="K2" s="322"/>
      <c r="L2" s="245"/>
      <c r="M2" s="32"/>
      <c r="N2" s="324" t="s">
        <v>30</v>
      </c>
      <c r="O2" s="324"/>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25"/>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7"/>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4" t="s">
        <v>35</v>
      </c>
      <c r="P9" s="345"/>
      <c r="Q9" s="345"/>
      <c r="R9" s="345"/>
      <c r="S9" s="345"/>
      <c r="T9" s="345"/>
      <c r="U9" s="345"/>
      <c r="V9" s="345"/>
      <c r="W9" s="346"/>
      <c r="X9" s="344" t="s">
        <v>36</v>
      </c>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199"/>
      <c r="AW9" s="328" t="s">
        <v>113</v>
      </c>
      <c r="AX9" s="328"/>
      <c r="AY9" s="328"/>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t="str">
        <f>BEGINBLAD!B6</f>
        <v>leerling 1</v>
      </c>
      <c r="C17" s="110" t="s">
        <v>2</v>
      </c>
      <c r="D17" s="149" t="str">
        <f>IF('NW - M4'!N6="","",IF('NW - M4'!N6="A+","A",IF('NW - M4'!N6="A","A",IF('NW - M4'!N6="B","B",IF('NW - M4'!N6="C","C",IF('NW - M4'!N6="C-","C",IF('NW - M4'!N6="D","D",IF('NW - M4'!N6="E","E"))))))))</f>
        <v/>
      </c>
      <c r="E17" s="110"/>
      <c r="F17" s="192">
        <f t="shared" ref="F17:F52" si="0">IF(C17="","",IF(C17="A",5,IF(C17="B",4,IF(C17="C",3,IF(C17="D",2,IF(C17="E",1))))))</f>
        <v>3</v>
      </c>
      <c r="G17" s="192" t="str">
        <f t="shared" ref="G17:G52" si="1">IF(D17="","",IF(D17="A",5,IF(D17="B",4,IF(D17="C",3,IF(D17="D",2,IF(D17="E",1))))))</f>
        <v/>
      </c>
      <c r="H17" s="191" t="str">
        <f t="shared" ref="H17:H52" si="2">IF(E17="","",IF(E17="A",5,IF(E17="B",4,IF(E17="C",3,IF(E17="D",2,IF(E17="E",1))))))</f>
        <v/>
      </c>
      <c r="I17" s="193">
        <f t="shared" ref="I17:I52" si="3">IF(F17="",H17,IF(H17="",F17,IF(F17&gt;H17,F17,IF(F17&lt;H17,H17,IF(F17=H17,F17)))))</f>
        <v>3</v>
      </c>
      <c r="J17" s="208" t="str">
        <f t="shared" ref="J17:J52" si="4">IF(I17="","",IF(I17=5,"A",IF(I17=4,"B",IF(I17=3,"C",IF(I17=2,"D",IF(I17=1,"E"))))))</f>
        <v>C</v>
      </c>
      <c r="K17" s="210">
        <f t="shared" ref="K17:K52" si="5">IF(I17="","",IF(I17=5,4,IF(I17=4,3.2,IF(I17=3,2.4,IF(I17=2,1.6,IF(I17=1,0.8))))))</f>
        <v>2.4</v>
      </c>
      <c r="L17" s="188"/>
      <c r="M17" s="104"/>
      <c r="N17" s="105"/>
      <c r="O17" s="250">
        <f t="shared" ref="O17:O52" si="6">IF(P17=0,0,IF(P17&gt;=4,"A",IF(P17&gt;=3,"B",IF(P17&gt;2.3,"C",IF(P17&gt;=1,"D",IF(P17&gt;0,"E"))))))</f>
        <v>0</v>
      </c>
      <c r="P17" s="249">
        <f>IF('NW - M4'!D6=0,0,IF('NW - M4'!D6&gt;=0,'NW - M4'!D6))</f>
        <v>0</v>
      </c>
      <c r="Q17" s="206" t="str">
        <f t="shared" ref="Q17:Q52" si="7">IF(K17="","",IF(P17=0,"",IF(P17&gt;0,P17/K17)))</f>
        <v/>
      </c>
      <c r="R17" s="250">
        <f t="shared" ref="R17:R52" si="8">IF(S17=0,0,IF(S17&gt;=4,"A",IF(S17&gt;=3,"B",IF(S17&gt;2.3,"C",IF(S17&gt;=1,"D",IF(S17&gt;0,"E"))))))</f>
        <v>0</v>
      </c>
      <c r="S17" s="249">
        <f>IF('NW - M4'!F6=0,0,IF('NW - M4'!F6&gt;=0,'NW - M4'!F6))</f>
        <v>0</v>
      </c>
      <c r="T17" s="206" t="str">
        <f t="shared" ref="T17:T52" si="9">IF(K17="","",IF(S17=0,"",IF(S17&gt;0,S17/K17)))</f>
        <v/>
      </c>
      <c r="U17" s="250">
        <f t="shared" ref="U17:U52" si="10">IF(V17=0,0,IF(V17&gt;=4,"A",IF(V17&gt;=3,"B",IF(V17&gt;2.3,"C",IF(V17&gt;=1,"D",IF(V17&gt;0,"E"))))))</f>
        <v>0</v>
      </c>
      <c r="V17" s="249">
        <f>IF('NW - M4'!E6=0,0,IF('NW - M4'!E6&gt;=0,'NW - M4'!E6))</f>
        <v>0</v>
      </c>
      <c r="W17" s="206" t="str">
        <f t="shared" ref="W17:W52" si="11">IF(K17="","",IF(V17=0,"",IF(V17&gt;0,V17/K17)))</f>
        <v/>
      </c>
      <c r="X17" s="250">
        <f t="shared" ref="X17:X52" si="12">IF(Y17=0,0,IF(Y17&gt;=4,"A",IF(Y17&gt;=3,"B",IF(Y17&gt;2.3,"C",IF(Y17&gt;=1,"D",IF(Y17&gt;0,"E"))))))</f>
        <v>0</v>
      </c>
      <c r="Y17" s="249">
        <f>IF('NW - M4'!I6=0,0,IF('NW - M4'!I6&gt;=0,'NW - M4'!I6))</f>
        <v>0</v>
      </c>
      <c r="Z17" s="206" t="str">
        <f t="shared" ref="Z17:Z52" si="13">IF(K17="","",IF(Y17=0,"",IF(Y17&gt;0,Y17/K17)))</f>
        <v/>
      </c>
      <c r="AA17" s="250">
        <f t="shared" ref="AA17:AA52" si="14">IF(AB17=0,0,IF(AB17&gt;=4,"A",IF(AB17&gt;=3,"B",IF(AB17&gt;2.3,"C",IF(AB17&gt;=1,"D",IF(AB17&gt;0,"E"))))))</f>
        <v>0</v>
      </c>
      <c r="AB17" s="249">
        <f>IF('NW - M4'!H6=0,0,IF('NW - M4'!H6&gt;=0,'NW - M4'!H6))</f>
        <v>0</v>
      </c>
      <c r="AC17" s="206" t="str">
        <f t="shared" ref="AC17:AC52" si="15">IF(K17="","",IF(AB17=0,"",IF(AB17&gt;0,AB17/K17)))</f>
        <v/>
      </c>
      <c r="AD17" s="1" t="str">
        <f>IF($J17="","",IF(O17=0,"",IF(Q17&lt;0.8,"",IF(Q17&gt;=0.8,1))))</f>
        <v/>
      </c>
      <c r="AE17" s="1" t="str">
        <f t="shared" ref="AE17:AE52" si="16">IF($J17="","",IF(R17=0,"",IF(T17&lt;0.8,"",IF(T17&gt;=0.8,1))))</f>
        <v/>
      </c>
      <c r="AF17" s="1" t="str">
        <f t="shared" ref="AF17:AF52" si="17">IF($J17="","",IF(U17=0,"",IF(W17&lt;0.8,"",IF(W17&gt;=0.8,1))))</f>
        <v/>
      </c>
      <c r="AG17" s="1" t="str">
        <f t="shared" ref="AG17:AG52" si="18">IF($J17="","",IF(X17=0,"",IF(Z17&lt;0.8,"",IF(Z17&gt;=0.8,1))))</f>
        <v/>
      </c>
      <c r="AH17" s="1" t="str">
        <f t="shared" ref="AH17:AH52" si="19">IF($J17="","",IF(AA17=0,"",IF(AC17&lt;0.8,"",IF(AC17&gt;=0.8,1))))</f>
        <v/>
      </c>
      <c r="AI17" s="1">
        <f t="shared" ref="AI17:AI52" si="20">SUM(AD17:AH17)</f>
        <v>0</v>
      </c>
      <c r="AJ17" s="106" t="b">
        <f t="shared" ref="AJ17:AJ52" si="21">IF($J17="A",$AV17)</f>
        <v>0</v>
      </c>
      <c r="AK17" s="106" t="b">
        <f t="shared" ref="AK17:AK52" si="22">IF($J17="B",$AV17)</f>
        <v>0</v>
      </c>
      <c r="AL17" s="106">
        <f t="shared" ref="AL17:AL52" si="23">IF($J17="C",$AV17)</f>
        <v>0</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f>IF(J17="","",IF(J17&gt;0,COUNT(O17+R17+U17+X17+AA17)))</f>
        <v>1</v>
      </c>
      <c r="AU17" s="198">
        <f t="shared" ref="AU17:AU52" si="30">5-AT17</f>
        <v>4</v>
      </c>
      <c r="AV17" s="204">
        <f t="shared" ref="AV17:AV52" si="31">IF(AT17="","",IF(AU17=0,"",IF(AU17&gt;0,AI17/AU17)))</f>
        <v>0</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t="str">
        <f>BEGINBLAD!B7</f>
        <v>leerling 2</v>
      </c>
      <c r="C18" s="110" t="s">
        <v>2</v>
      </c>
      <c r="D18" s="149" t="str">
        <f>IF('NW - M4'!N7="","",IF('NW - M4'!N7="A+","A",IF('NW - M4'!N7="A","A",IF('NW - M4'!N7="B","B",IF('NW - M4'!N7="C","C",IF('NW - M4'!N7="C-","C",IF('NW - M4'!N7="D","D",IF('NW - M4'!N7="E","E"))))))))</f>
        <v>D</v>
      </c>
      <c r="E18" s="110"/>
      <c r="F18" s="192">
        <f t="shared" si="0"/>
        <v>3</v>
      </c>
      <c r="G18" s="192">
        <f t="shared" si="1"/>
        <v>2</v>
      </c>
      <c r="H18" s="191" t="str">
        <f t="shared" si="2"/>
        <v/>
      </c>
      <c r="I18" s="193">
        <f t="shared" si="3"/>
        <v>3</v>
      </c>
      <c r="J18" s="208" t="str">
        <f t="shared" si="4"/>
        <v>C</v>
      </c>
      <c r="K18" s="210">
        <f t="shared" si="5"/>
        <v>2.4</v>
      </c>
      <c r="L18" s="189"/>
      <c r="M18" s="110"/>
      <c r="N18" s="117"/>
      <c r="O18" s="250" t="str">
        <f t="shared" si="6"/>
        <v>E</v>
      </c>
      <c r="P18" s="249">
        <f>IF('NW - M4'!D7=0,0,IF('NW - M4'!D7&gt;=0,'NW - M4'!D7))</f>
        <v>0.8</v>
      </c>
      <c r="Q18" s="206">
        <f t="shared" si="7"/>
        <v>0.33333333333333337</v>
      </c>
      <c r="R18" s="250" t="str">
        <f t="shared" si="8"/>
        <v>B</v>
      </c>
      <c r="S18" s="249">
        <f>IF('NW - M4'!F7=0,0,IF('NW - M4'!F7&gt;=0,'NW - M4'!F7))</f>
        <v>3</v>
      </c>
      <c r="T18" s="206">
        <f t="shared" si="9"/>
        <v>1.25</v>
      </c>
      <c r="U18" s="250" t="str">
        <f t="shared" si="10"/>
        <v>E</v>
      </c>
      <c r="V18" s="249">
        <f>IF('NW - M4'!E7=0,0,IF('NW - M4'!E7&gt;=0,'NW - M4'!E7))</f>
        <v>0.9</v>
      </c>
      <c r="W18" s="206">
        <f t="shared" si="11"/>
        <v>0.375</v>
      </c>
      <c r="X18" s="250" t="str">
        <f t="shared" si="12"/>
        <v>D</v>
      </c>
      <c r="Y18" s="249">
        <f>IF('NW - M4'!I7=0,0,IF('NW - M4'!I7&gt;=0,'NW - M4'!I7))</f>
        <v>2.1</v>
      </c>
      <c r="Z18" s="206">
        <f t="shared" si="13"/>
        <v>0.87500000000000011</v>
      </c>
      <c r="AA18" s="250" t="str">
        <f t="shared" si="14"/>
        <v>C</v>
      </c>
      <c r="AB18" s="249">
        <f>IF('NW - M4'!H7=0,0,IF('NW - M4'!H7&gt;=0,'NW - M4'!H7))</f>
        <v>2.9</v>
      </c>
      <c r="AC18" s="206">
        <f t="shared" si="15"/>
        <v>1.2083333333333333</v>
      </c>
      <c r="AD18" s="1" t="str">
        <f t="shared" ref="AD18:AD52" si="39">IF(J18="","",IF(O18=0,"",IF(Q18&lt;0.8,"",IF(Q18&gt;=0.8,1))))</f>
        <v/>
      </c>
      <c r="AE18" s="1">
        <f t="shared" si="16"/>
        <v>1</v>
      </c>
      <c r="AF18" s="1" t="str">
        <f t="shared" si="17"/>
        <v/>
      </c>
      <c r="AG18" s="1">
        <f t="shared" si="18"/>
        <v>1</v>
      </c>
      <c r="AH18" s="1">
        <f t="shared" si="19"/>
        <v>1</v>
      </c>
      <c r="AI18" s="1">
        <f t="shared" si="20"/>
        <v>3</v>
      </c>
      <c r="AJ18" s="106" t="b">
        <f t="shared" si="21"/>
        <v>0</v>
      </c>
      <c r="AK18" s="106" t="b">
        <f t="shared" si="22"/>
        <v>0</v>
      </c>
      <c r="AL18" s="106">
        <f t="shared" si="23"/>
        <v>0.6</v>
      </c>
      <c r="AM18" s="106" t="b">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f t="shared" ref="AT18:AT52" si="41">IF(J18="","",IF(J18&gt;0,COUNT(O18+R18+U18+X18+AA18)))</f>
        <v>0</v>
      </c>
      <c r="AU18" s="198">
        <f t="shared" si="30"/>
        <v>5</v>
      </c>
      <c r="AV18" s="204">
        <f t="shared" si="31"/>
        <v>0.6</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t="str">
        <f>BEGINBLAD!B8</f>
        <v>leerling 3</v>
      </c>
      <c r="C19" s="110" t="s">
        <v>1</v>
      </c>
      <c r="D19" s="149" t="str">
        <f>IF('NW - M4'!N8="","",IF('NW - M4'!N8="A+","A",IF('NW - M4'!N8="A","A",IF('NW - M4'!N8="B","B",IF('NW - M4'!N8="C","C",IF('NW - M4'!N8="C-","C",IF('NW - M4'!N8="D","D",IF('NW - M4'!N8="E","E"))))))))</f>
        <v>C</v>
      </c>
      <c r="E19" s="296" t="s">
        <v>3</v>
      </c>
      <c r="F19" s="192">
        <f t="shared" si="0"/>
        <v>4</v>
      </c>
      <c r="G19" s="192">
        <f t="shared" si="1"/>
        <v>3</v>
      </c>
      <c r="H19" s="191">
        <f t="shared" si="2"/>
        <v>2</v>
      </c>
      <c r="I19" s="193">
        <f t="shared" si="3"/>
        <v>4</v>
      </c>
      <c r="J19" s="208" t="str">
        <f t="shared" si="4"/>
        <v>B</v>
      </c>
      <c r="K19" s="210">
        <f t="shared" si="5"/>
        <v>3.2</v>
      </c>
      <c r="L19" s="189"/>
      <c r="M19" s="110"/>
      <c r="N19" s="117"/>
      <c r="O19" s="250" t="str">
        <f t="shared" si="6"/>
        <v>C</v>
      </c>
      <c r="P19" s="249">
        <f>IF('NW - M4'!D8=0,0,IF('NW - M4'!D8&gt;=0,'NW - M4'!D8))</f>
        <v>2.5</v>
      </c>
      <c r="Q19" s="206">
        <f t="shared" si="7"/>
        <v>0.78125</v>
      </c>
      <c r="R19" s="250" t="str">
        <f t="shared" si="8"/>
        <v>B</v>
      </c>
      <c r="S19" s="249">
        <f>IF('NW - M4'!F8=0,0,IF('NW - M4'!F8&gt;=0,'NW - M4'!F8))</f>
        <v>3.1</v>
      </c>
      <c r="T19" s="206">
        <f t="shared" si="9"/>
        <v>0.96875</v>
      </c>
      <c r="U19" s="250" t="str">
        <f t="shared" si="10"/>
        <v>C</v>
      </c>
      <c r="V19" s="249">
        <f>IF('NW - M4'!E8=0,0,IF('NW - M4'!E8&gt;=0,'NW - M4'!E8))</f>
        <v>2.8</v>
      </c>
      <c r="W19" s="206">
        <f t="shared" si="11"/>
        <v>0.87499999999999989</v>
      </c>
      <c r="X19" s="250" t="str">
        <f t="shared" si="12"/>
        <v>B</v>
      </c>
      <c r="Y19" s="249">
        <f>IF('NW - M4'!I8=0,0,IF('NW - M4'!I8&gt;=0,'NW - M4'!I8))</f>
        <v>3.5</v>
      </c>
      <c r="Z19" s="206">
        <f t="shared" si="13"/>
        <v>1.09375</v>
      </c>
      <c r="AA19" s="250" t="str">
        <f t="shared" si="14"/>
        <v>D</v>
      </c>
      <c r="AB19" s="249">
        <f>IF('NW - M4'!H8=0,0,IF('NW - M4'!H8&gt;=0,'NW - M4'!H8))</f>
        <v>1</v>
      </c>
      <c r="AC19" s="206">
        <f t="shared" si="15"/>
        <v>0.3125</v>
      </c>
      <c r="AD19" s="1" t="str">
        <f t="shared" si="39"/>
        <v/>
      </c>
      <c r="AE19" s="1">
        <f t="shared" si="16"/>
        <v>1</v>
      </c>
      <c r="AF19" s="1">
        <f t="shared" si="17"/>
        <v>1</v>
      </c>
      <c r="AG19" s="1">
        <f t="shared" si="18"/>
        <v>1</v>
      </c>
      <c r="AH19" s="1" t="str">
        <f t="shared" si="19"/>
        <v/>
      </c>
      <c r="AI19" s="1">
        <f t="shared" si="20"/>
        <v>3</v>
      </c>
      <c r="AJ19" s="106" t="b">
        <f t="shared" si="21"/>
        <v>0</v>
      </c>
      <c r="AK19" s="106">
        <f t="shared" si="22"/>
        <v>0.6</v>
      </c>
      <c r="AL19" s="106" t="b">
        <f t="shared" si="23"/>
        <v>0</v>
      </c>
      <c r="AM19" s="106" t="b">
        <f t="shared" si="24"/>
        <v>0</v>
      </c>
      <c r="AN19" s="106" t="b">
        <f t="shared" si="25"/>
        <v>0</v>
      </c>
      <c r="AO19" s="106" t="b">
        <f t="shared" si="40"/>
        <v>0</v>
      </c>
      <c r="AP19" s="106" t="b">
        <f t="shared" si="26"/>
        <v>0</v>
      </c>
      <c r="AQ19" s="106" t="b">
        <f t="shared" si="27"/>
        <v>0</v>
      </c>
      <c r="AR19" s="106" t="b">
        <f t="shared" si="28"/>
        <v>0</v>
      </c>
      <c r="AS19" s="106" t="b">
        <f t="shared" si="29"/>
        <v>0</v>
      </c>
      <c r="AT19" s="148">
        <f t="shared" si="41"/>
        <v>0</v>
      </c>
      <c r="AU19" s="198">
        <f t="shared" si="30"/>
        <v>5</v>
      </c>
      <c r="AV19" s="204">
        <f t="shared" si="31"/>
        <v>0.6</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c r="D20" s="149" t="str">
        <f>IF('NW - M4'!N9="","",IF('NW - M4'!N9="A+","A",IF('NW - M4'!N9="A","A",IF('NW - M4'!N9="B","B",IF('NW - M4'!N9="C","C",IF('NW - M4'!N9="C-","C",IF('NW - M4'!N9="D","D",IF('NW - M4'!N9="E","E"))))))))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M4'!D9=0,0,IF('NW - M4'!D9&gt;=0,'NW - M4'!D9))</f>
        <v>0</v>
      </c>
      <c r="Q20" s="206" t="str">
        <f t="shared" si="7"/>
        <v/>
      </c>
      <c r="R20" s="250">
        <f t="shared" si="8"/>
        <v>0</v>
      </c>
      <c r="S20" s="249">
        <f>IF('NW - M4'!F9=0,0,IF('NW - M4'!F9&gt;=0,'NW - M4'!F9))</f>
        <v>0</v>
      </c>
      <c r="T20" s="206" t="str">
        <f t="shared" si="9"/>
        <v/>
      </c>
      <c r="U20" s="250">
        <f t="shared" si="10"/>
        <v>0</v>
      </c>
      <c r="V20" s="249">
        <f>IF('NW - M4'!E9=0,0,IF('NW - M4'!E9&gt;=0,'NW - M4'!E9))</f>
        <v>0</v>
      </c>
      <c r="W20" s="206" t="str">
        <f t="shared" si="11"/>
        <v/>
      </c>
      <c r="X20" s="250">
        <f t="shared" si="12"/>
        <v>0</v>
      </c>
      <c r="Y20" s="249">
        <f>IF('NW - M4'!I9=0,0,IF('NW - M4'!I9&gt;=0,'NW - M4'!I9))</f>
        <v>0</v>
      </c>
      <c r="Z20" s="206" t="str">
        <f t="shared" si="13"/>
        <v/>
      </c>
      <c r="AA20" s="250">
        <f t="shared" si="14"/>
        <v>0</v>
      </c>
      <c r="AB20" s="249">
        <f>IF('NW - M4'!H9=0,0,IF('NW - M4'!H9&gt;=0,'NW - M4'!H9))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c r="D21" s="149" t="str">
        <f>IF('NW - M4'!N10="","",IF('NW - M4'!N10="A+","A",IF('NW - M4'!N10="A","A",IF('NW - M4'!N10="B","B",IF('NW - M4'!N10="C","C",IF('NW - M4'!N10="C-","C",IF('NW - M4'!N10="D","D",IF('NW - M4'!N10="E","E"))))))))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M4'!D10=0,0,IF('NW - M4'!D10&gt;=0,'NW - M4'!D10))</f>
        <v>0</v>
      </c>
      <c r="Q21" s="206" t="str">
        <f t="shared" si="7"/>
        <v/>
      </c>
      <c r="R21" s="250">
        <f t="shared" si="8"/>
        <v>0</v>
      </c>
      <c r="S21" s="249">
        <f>IF('NW - M4'!F10=0,0,IF('NW - M4'!F10&gt;=0,'NW - M4'!F10))</f>
        <v>0</v>
      </c>
      <c r="T21" s="206" t="str">
        <f t="shared" si="9"/>
        <v/>
      </c>
      <c r="U21" s="250">
        <f t="shared" si="10"/>
        <v>0</v>
      </c>
      <c r="V21" s="249">
        <f>IF('NW - M4'!E10=0,0,IF('NW - M4'!E10&gt;=0,'NW - M4'!E10))</f>
        <v>0</v>
      </c>
      <c r="W21" s="206" t="str">
        <f t="shared" si="11"/>
        <v/>
      </c>
      <c r="X21" s="250">
        <f t="shared" si="12"/>
        <v>0</v>
      </c>
      <c r="Y21" s="249">
        <f>IF('NW - M4'!I10=0,0,IF('NW - M4'!I10&gt;=0,'NW - M4'!I10))</f>
        <v>0</v>
      </c>
      <c r="Z21" s="206" t="str">
        <f t="shared" si="13"/>
        <v/>
      </c>
      <c r="AA21" s="250">
        <f t="shared" si="14"/>
        <v>0</v>
      </c>
      <c r="AB21" s="249">
        <f>IF('NW - M4'!H10=0,0,IF('NW - M4'!H10&gt;=0,'NW - M4'!H10))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c r="D22" s="149" t="str">
        <f>IF('NW - M4'!N11="","",IF('NW - M4'!N11="A+","A",IF('NW - M4'!N11="A","A",IF('NW - M4'!N11="B","B",IF('NW - M4'!N11="C","C",IF('NW - M4'!N11="C-","C",IF('NW - M4'!N11="D","D",IF('NW - M4'!N11="E","E"))))))))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M4'!D11=0,0,IF('NW - M4'!D11&gt;=0,'NW - M4'!D11))</f>
        <v>0</v>
      </c>
      <c r="Q22" s="206" t="str">
        <f t="shared" si="7"/>
        <v/>
      </c>
      <c r="R22" s="250">
        <f t="shared" si="8"/>
        <v>0</v>
      </c>
      <c r="S22" s="249">
        <f>IF('NW - M4'!F11=0,0,IF('NW - M4'!F11&gt;=0,'NW - M4'!F11))</f>
        <v>0</v>
      </c>
      <c r="T22" s="206" t="str">
        <f t="shared" si="9"/>
        <v/>
      </c>
      <c r="U22" s="250">
        <f t="shared" si="10"/>
        <v>0</v>
      </c>
      <c r="V22" s="249">
        <f>IF('NW - M4'!E11=0,0,IF('NW - M4'!E11&gt;=0,'NW - M4'!E11))</f>
        <v>0</v>
      </c>
      <c r="W22" s="206" t="str">
        <f t="shared" si="11"/>
        <v/>
      </c>
      <c r="X22" s="250">
        <f t="shared" si="12"/>
        <v>0</v>
      </c>
      <c r="Y22" s="249">
        <f>IF('NW - M4'!I11=0,0,IF('NW - M4'!I11&gt;=0,'NW - M4'!I11))</f>
        <v>0</v>
      </c>
      <c r="Z22" s="206" t="str">
        <f t="shared" si="13"/>
        <v/>
      </c>
      <c r="AA22" s="250">
        <f t="shared" si="14"/>
        <v>0</v>
      </c>
      <c r="AB22" s="249">
        <f>IF('NW - M4'!H11=0,0,IF('NW - M4'!H11&gt;=0,'NW - M4'!H11))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c r="D23" s="149" t="str">
        <f>IF('NW - M4'!N12="","",IF('NW - M4'!N12="A+","A",IF('NW - M4'!N12="A","A",IF('NW - M4'!N12="B","B",IF('NW - M4'!N12="C","C",IF('NW - M4'!N12="C-","C",IF('NW - M4'!N12="D","D",IF('NW - M4'!N12="E","E"))))))))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M4'!D12=0,0,IF('NW - M4'!D12&gt;=0,'NW - M4'!D12))</f>
        <v>0</v>
      </c>
      <c r="Q23" s="206" t="str">
        <f t="shared" si="7"/>
        <v/>
      </c>
      <c r="R23" s="250">
        <f t="shared" si="8"/>
        <v>0</v>
      </c>
      <c r="S23" s="249">
        <f>IF('NW - M4'!F12=0,0,IF('NW - M4'!F12&gt;=0,'NW - M4'!F12))</f>
        <v>0</v>
      </c>
      <c r="T23" s="206" t="str">
        <f t="shared" si="9"/>
        <v/>
      </c>
      <c r="U23" s="250">
        <f t="shared" si="10"/>
        <v>0</v>
      </c>
      <c r="V23" s="249">
        <f>IF('NW - M4'!E12=0,0,IF('NW - M4'!E12&gt;=0,'NW - M4'!E12))</f>
        <v>0</v>
      </c>
      <c r="W23" s="206" t="str">
        <f t="shared" si="11"/>
        <v/>
      </c>
      <c r="X23" s="250">
        <f t="shared" si="12"/>
        <v>0</v>
      </c>
      <c r="Y23" s="249">
        <f>IF('NW - M4'!I12=0,0,IF('NW - M4'!I12&gt;=0,'NW - M4'!I12))</f>
        <v>0</v>
      </c>
      <c r="Z23" s="206" t="str">
        <f t="shared" si="13"/>
        <v/>
      </c>
      <c r="AA23" s="250">
        <f t="shared" si="14"/>
        <v>0</v>
      </c>
      <c r="AB23" s="249">
        <f>IF('NW - M4'!H12=0,0,IF('NW - M4'!H12&gt;=0,'NW - M4'!H12))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c r="D24" s="149" t="str">
        <f>IF('NW - M4'!N13="","",IF('NW - M4'!N13="A+","A",IF('NW - M4'!N13="A","A",IF('NW - M4'!N13="B","B",IF('NW - M4'!N13="C","C",IF('NW - M4'!N13="C-","C",IF('NW - M4'!N13="D","D",IF('NW - M4'!N13="E","E"))))))))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M4'!D13=0,0,IF('NW - M4'!D13&gt;=0,'NW - M4'!D13))</f>
        <v>0</v>
      </c>
      <c r="Q24" s="206" t="str">
        <f t="shared" si="7"/>
        <v/>
      </c>
      <c r="R24" s="250">
        <f t="shared" si="8"/>
        <v>0</v>
      </c>
      <c r="S24" s="249">
        <f>IF('NW - M4'!F13=0,0,IF('NW - M4'!F13&gt;=0,'NW - M4'!F13))</f>
        <v>0</v>
      </c>
      <c r="T24" s="206" t="str">
        <f t="shared" si="9"/>
        <v/>
      </c>
      <c r="U24" s="250">
        <f t="shared" si="10"/>
        <v>0</v>
      </c>
      <c r="V24" s="249">
        <f>IF('NW - M4'!E13=0,0,IF('NW - M4'!E13&gt;=0,'NW - M4'!E13))</f>
        <v>0</v>
      </c>
      <c r="W24" s="206" t="str">
        <f t="shared" si="11"/>
        <v/>
      </c>
      <c r="X24" s="250">
        <f t="shared" si="12"/>
        <v>0</v>
      </c>
      <c r="Y24" s="249">
        <f>IF('NW - M4'!I13=0,0,IF('NW - M4'!I13&gt;=0,'NW - M4'!I13))</f>
        <v>0</v>
      </c>
      <c r="Z24" s="206" t="str">
        <f t="shared" si="13"/>
        <v/>
      </c>
      <c r="AA24" s="250">
        <f t="shared" si="14"/>
        <v>0</v>
      </c>
      <c r="AB24" s="249">
        <f>IF('NW - M4'!H13=0,0,IF('NW - M4'!H13&gt;=0,'NW - M4'!H13))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c r="D25" s="149" t="str">
        <f>IF('NW - M4'!N14="","",IF('NW - M4'!N14="A+","A",IF('NW - M4'!N14="A","A",IF('NW - M4'!N14="B","B",IF('NW - M4'!N14="C","C",IF('NW - M4'!N14="C-","C",IF('NW - M4'!N14="D","D",IF('NW - M4'!N14="E","E"))))))))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M4'!D14=0,0,IF('NW - M4'!D14&gt;=0,'NW - M4'!D14))</f>
        <v>0</v>
      </c>
      <c r="Q25" s="206" t="str">
        <f t="shared" si="7"/>
        <v/>
      </c>
      <c r="R25" s="250">
        <f t="shared" si="8"/>
        <v>0</v>
      </c>
      <c r="S25" s="249">
        <f>IF('NW - M4'!F14=0,0,IF('NW - M4'!F14&gt;=0,'NW - M4'!F14))</f>
        <v>0</v>
      </c>
      <c r="T25" s="206" t="str">
        <f t="shared" si="9"/>
        <v/>
      </c>
      <c r="U25" s="250">
        <f t="shared" si="10"/>
        <v>0</v>
      </c>
      <c r="V25" s="249">
        <f>IF('NW - M4'!E14=0,0,IF('NW - M4'!E14&gt;=0,'NW - M4'!E14))</f>
        <v>0</v>
      </c>
      <c r="W25" s="206" t="str">
        <f t="shared" si="11"/>
        <v/>
      </c>
      <c r="X25" s="250">
        <f t="shared" si="12"/>
        <v>0</v>
      </c>
      <c r="Y25" s="249">
        <f>IF('NW - M4'!I14=0,0,IF('NW - M4'!I14&gt;=0,'NW - M4'!I14))</f>
        <v>0</v>
      </c>
      <c r="Z25" s="206" t="str">
        <f t="shared" si="13"/>
        <v/>
      </c>
      <c r="AA25" s="250">
        <f t="shared" si="14"/>
        <v>0</v>
      </c>
      <c r="AB25" s="249">
        <f>IF('NW - M4'!H14=0,0,IF('NW - M4'!H14&gt;=0,'NW - M4'!H14))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c r="D26" s="149" t="str">
        <f>IF('NW - M4'!N15="","",IF('NW - M4'!N15="A+","A",IF('NW - M4'!N15="A","A",IF('NW - M4'!N15="B","B",IF('NW - M4'!N15="C","C",IF('NW - M4'!N15="C-","C",IF('NW - M4'!N15="D","D",IF('NW - M4'!N15="E","E"))))))))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M4'!D15=0,0,IF('NW - M4'!D15&gt;=0,'NW - M4'!D15))</f>
        <v>0</v>
      </c>
      <c r="Q26" s="206" t="str">
        <f t="shared" si="7"/>
        <v/>
      </c>
      <c r="R26" s="250">
        <f t="shared" si="8"/>
        <v>0</v>
      </c>
      <c r="S26" s="249">
        <f>IF('NW - M4'!F15=0,0,IF('NW - M4'!F15&gt;=0,'NW - M4'!F15))</f>
        <v>0</v>
      </c>
      <c r="T26" s="206" t="str">
        <f t="shared" si="9"/>
        <v/>
      </c>
      <c r="U26" s="250">
        <f t="shared" si="10"/>
        <v>0</v>
      </c>
      <c r="V26" s="249">
        <f>IF('NW - M4'!E15=0,0,IF('NW - M4'!E15&gt;=0,'NW - M4'!E15))</f>
        <v>0</v>
      </c>
      <c r="W26" s="206" t="str">
        <f t="shared" si="11"/>
        <v/>
      </c>
      <c r="X26" s="250">
        <f t="shared" si="12"/>
        <v>0</v>
      </c>
      <c r="Y26" s="249">
        <f>IF('NW - M4'!I15=0,0,IF('NW - M4'!I15&gt;=0,'NW - M4'!I15))</f>
        <v>0</v>
      </c>
      <c r="Z26" s="206" t="str">
        <f t="shared" si="13"/>
        <v/>
      </c>
      <c r="AA26" s="250">
        <f t="shared" si="14"/>
        <v>0</v>
      </c>
      <c r="AB26" s="249">
        <f>IF('NW - M4'!H15=0,0,IF('NW - M4'!H15&gt;=0,'NW - M4'!H15))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c r="D27" s="149" t="str">
        <f>IF('NW - M4'!N16="","",IF('NW - M4'!N16="A+","A",IF('NW - M4'!N16="A","A",IF('NW - M4'!N16="B","B",IF('NW - M4'!N16="C","C",IF('NW - M4'!N16="C-","C",IF('NW - M4'!N16="D","D",IF('NW - M4'!N16="E","E"))))))))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M4'!D16=0,0,IF('NW - M4'!D16&gt;=0,'NW - M4'!D16))</f>
        <v>0</v>
      </c>
      <c r="Q27" s="206" t="str">
        <f t="shared" si="7"/>
        <v/>
      </c>
      <c r="R27" s="250">
        <f t="shared" si="8"/>
        <v>0</v>
      </c>
      <c r="S27" s="249">
        <f>IF('NW - M4'!F16=0,0,IF('NW - M4'!F16&gt;=0,'NW - M4'!F16))</f>
        <v>0</v>
      </c>
      <c r="T27" s="206" t="str">
        <f t="shared" si="9"/>
        <v/>
      </c>
      <c r="U27" s="250">
        <f t="shared" si="10"/>
        <v>0</v>
      </c>
      <c r="V27" s="249">
        <f>IF('NW - M4'!E16=0,0,IF('NW - M4'!E16&gt;=0,'NW - M4'!E16))</f>
        <v>0</v>
      </c>
      <c r="W27" s="206" t="str">
        <f t="shared" si="11"/>
        <v/>
      </c>
      <c r="X27" s="250">
        <f t="shared" si="12"/>
        <v>0</v>
      </c>
      <c r="Y27" s="249">
        <f>IF('NW - M4'!I16=0,0,IF('NW - M4'!I16&gt;=0,'NW - M4'!I16))</f>
        <v>0</v>
      </c>
      <c r="Z27" s="206" t="str">
        <f t="shared" si="13"/>
        <v/>
      </c>
      <c r="AA27" s="250">
        <f t="shared" si="14"/>
        <v>0</v>
      </c>
      <c r="AB27" s="249">
        <f>IF('NW - M4'!H16=0,0,IF('NW - M4'!H16&gt;=0,'NW - M4'!H16))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c r="D28" s="149" t="str">
        <f>IF('NW - M4'!N17="","",IF('NW - M4'!N17="A+","A",IF('NW - M4'!N17="A","A",IF('NW - M4'!N17="B","B",IF('NW - M4'!N17="C","C",IF('NW - M4'!N17="C-","C",IF('NW - M4'!N17="D","D",IF('NW - M4'!N17="E","E"))))))))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M4'!D17=0,0,IF('NW - M4'!D17&gt;=0,'NW - M4'!D17))</f>
        <v>0</v>
      </c>
      <c r="Q28" s="206" t="str">
        <f t="shared" si="7"/>
        <v/>
      </c>
      <c r="R28" s="250">
        <f t="shared" si="8"/>
        <v>0</v>
      </c>
      <c r="S28" s="249">
        <f>IF('NW - M4'!F17=0,0,IF('NW - M4'!F17&gt;=0,'NW - M4'!F17))</f>
        <v>0</v>
      </c>
      <c r="T28" s="206" t="str">
        <f t="shared" si="9"/>
        <v/>
      </c>
      <c r="U28" s="250">
        <f t="shared" si="10"/>
        <v>0</v>
      </c>
      <c r="V28" s="249">
        <f>IF('NW - M4'!E17=0,0,IF('NW - M4'!E17&gt;=0,'NW - M4'!E17))</f>
        <v>0</v>
      </c>
      <c r="W28" s="206" t="str">
        <f t="shared" si="11"/>
        <v/>
      </c>
      <c r="X28" s="250">
        <f t="shared" si="12"/>
        <v>0</v>
      </c>
      <c r="Y28" s="249">
        <f>IF('NW - M4'!I17=0,0,IF('NW - M4'!I17&gt;=0,'NW - M4'!I17))</f>
        <v>0</v>
      </c>
      <c r="Z28" s="206" t="str">
        <f t="shared" si="13"/>
        <v/>
      </c>
      <c r="AA28" s="250">
        <f t="shared" si="14"/>
        <v>0</v>
      </c>
      <c r="AB28" s="249">
        <f>IF('NW - M4'!H17=0,0,IF('NW - M4'!H17&gt;=0,'NW - M4'!H17))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c r="D29" s="149" t="str">
        <f>IF('NW - M4'!N18="","",IF('NW - M4'!N18="A+","A",IF('NW - M4'!N18="A","A",IF('NW - M4'!N18="B","B",IF('NW - M4'!N18="C","C",IF('NW - M4'!N18="C-","C",IF('NW - M4'!N18="D","D",IF('NW - M4'!N18="E","E"))))))))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M4'!D18=0,0,IF('NW - M4'!D18&gt;=0,'NW - M4'!D18))</f>
        <v>0</v>
      </c>
      <c r="Q29" s="206" t="str">
        <f t="shared" si="7"/>
        <v/>
      </c>
      <c r="R29" s="250">
        <f t="shared" si="8"/>
        <v>0</v>
      </c>
      <c r="S29" s="249">
        <f>IF('NW - M4'!F18=0,0,IF('NW - M4'!F18&gt;=0,'NW - M4'!F18))</f>
        <v>0</v>
      </c>
      <c r="T29" s="206" t="str">
        <f t="shared" si="9"/>
        <v/>
      </c>
      <c r="U29" s="250">
        <f t="shared" si="10"/>
        <v>0</v>
      </c>
      <c r="V29" s="249">
        <f>IF('NW - M4'!E18=0,0,IF('NW - M4'!E18&gt;=0,'NW - M4'!E18))</f>
        <v>0</v>
      </c>
      <c r="W29" s="206" t="str">
        <f t="shared" si="11"/>
        <v/>
      </c>
      <c r="X29" s="250">
        <f t="shared" si="12"/>
        <v>0</v>
      </c>
      <c r="Y29" s="249">
        <f>IF('NW - M4'!I18=0,0,IF('NW - M4'!I18&gt;=0,'NW - M4'!I18))</f>
        <v>0</v>
      </c>
      <c r="Z29" s="206" t="str">
        <f t="shared" si="13"/>
        <v/>
      </c>
      <c r="AA29" s="250">
        <f t="shared" si="14"/>
        <v>0</v>
      </c>
      <c r="AB29" s="249">
        <f>IF('NW - M4'!H18=0,0,IF('NW - M4'!H18&gt;=0,'NW - M4'!H18))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c r="D30" s="149" t="str">
        <f>IF('NW - M4'!N19="","",IF('NW - M4'!N19="A+","A",IF('NW - M4'!N19="A","A",IF('NW - M4'!N19="B","B",IF('NW - M4'!N19="C","C",IF('NW - M4'!N19="C-","C",IF('NW - M4'!N19="D","D",IF('NW - M4'!N19="E","E"))))))))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M4'!D19=0,0,IF('NW - M4'!D19&gt;=0,'NW - M4'!D19))</f>
        <v>0</v>
      </c>
      <c r="Q30" s="206" t="str">
        <f t="shared" si="7"/>
        <v/>
      </c>
      <c r="R30" s="250">
        <f t="shared" si="8"/>
        <v>0</v>
      </c>
      <c r="S30" s="249">
        <f>IF('NW - M4'!F19=0,0,IF('NW - M4'!F19&gt;=0,'NW - M4'!F19))</f>
        <v>0</v>
      </c>
      <c r="T30" s="206" t="str">
        <f t="shared" si="9"/>
        <v/>
      </c>
      <c r="U30" s="250">
        <f t="shared" si="10"/>
        <v>0</v>
      </c>
      <c r="V30" s="249">
        <f>IF('NW - M4'!E19=0,0,IF('NW - M4'!E19&gt;=0,'NW - M4'!E19))</f>
        <v>0</v>
      </c>
      <c r="W30" s="206" t="str">
        <f t="shared" si="11"/>
        <v/>
      </c>
      <c r="X30" s="250">
        <f t="shared" si="12"/>
        <v>0</v>
      </c>
      <c r="Y30" s="249">
        <f>IF('NW - M4'!I19=0,0,IF('NW - M4'!I19&gt;=0,'NW - M4'!I19))</f>
        <v>0</v>
      </c>
      <c r="Z30" s="206" t="str">
        <f t="shared" si="13"/>
        <v/>
      </c>
      <c r="AA30" s="250">
        <f t="shared" si="14"/>
        <v>0</v>
      </c>
      <c r="AB30" s="249">
        <f>IF('NW - M4'!H19=0,0,IF('NW - M4'!H19&gt;=0,'NW - M4'!H19))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c r="D31" s="149" t="str">
        <f>IF('NW - M4'!N20="","",IF('NW - M4'!N20="A+","A",IF('NW - M4'!N20="A","A",IF('NW - M4'!N20="B","B",IF('NW - M4'!N20="C","C",IF('NW - M4'!N20="C-","C",IF('NW - M4'!N20="D","D",IF('NW - M4'!N20="E","E"))))))))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M4'!D20=0,0,IF('NW - M4'!D20&gt;=0,'NW - M4'!D20))</f>
        <v>0</v>
      </c>
      <c r="Q31" s="206" t="str">
        <f t="shared" si="7"/>
        <v/>
      </c>
      <c r="R31" s="250">
        <f t="shared" si="8"/>
        <v>0</v>
      </c>
      <c r="S31" s="249">
        <f>IF('NW - M4'!F20=0,0,IF('NW - M4'!F20&gt;=0,'NW - M4'!F20))</f>
        <v>0</v>
      </c>
      <c r="T31" s="206" t="str">
        <f t="shared" si="9"/>
        <v/>
      </c>
      <c r="U31" s="250">
        <f t="shared" si="10"/>
        <v>0</v>
      </c>
      <c r="V31" s="249">
        <f>IF('NW - M4'!E20=0,0,IF('NW - M4'!E20&gt;=0,'NW - M4'!E20))</f>
        <v>0</v>
      </c>
      <c r="W31" s="206" t="str">
        <f t="shared" si="11"/>
        <v/>
      </c>
      <c r="X31" s="250">
        <f t="shared" si="12"/>
        <v>0</v>
      </c>
      <c r="Y31" s="249">
        <f>IF('NW - M4'!I20=0,0,IF('NW - M4'!I20&gt;=0,'NW - M4'!I20))</f>
        <v>0</v>
      </c>
      <c r="Z31" s="206" t="str">
        <f t="shared" si="13"/>
        <v/>
      </c>
      <c r="AA31" s="250">
        <f t="shared" si="14"/>
        <v>0</v>
      </c>
      <c r="AB31" s="249">
        <f>IF('NW - M4'!H20=0,0,IF('NW - M4'!H20&gt;=0,'NW - M4'!H20))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c r="D32" s="149" t="str">
        <f>IF('NW - M4'!N21="","",IF('NW - M4'!N21="A+","A",IF('NW - M4'!N21="A","A",IF('NW - M4'!N21="B","B",IF('NW - M4'!N21="C","C",IF('NW - M4'!N21="C-","C",IF('NW - M4'!N21="D","D",IF('NW - M4'!N21="E","E"))))))))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M4'!D21=0,0,IF('NW - M4'!D21&gt;=0,'NW - M4'!D21))</f>
        <v>0</v>
      </c>
      <c r="Q32" s="206" t="str">
        <f t="shared" si="7"/>
        <v/>
      </c>
      <c r="R32" s="250">
        <f t="shared" si="8"/>
        <v>0</v>
      </c>
      <c r="S32" s="249">
        <f>IF('NW - M4'!F21=0,0,IF('NW - M4'!F21&gt;=0,'NW - M4'!F21))</f>
        <v>0</v>
      </c>
      <c r="T32" s="206" t="str">
        <f t="shared" si="9"/>
        <v/>
      </c>
      <c r="U32" s="250">
        <f t="shared" si="10"/>
        <v>0</v>
      </c>
      <c r="V32" s="249">
        <f>IF('NW - M4'!E21=0,0,IF('NW - M4'!E21&gt;=0,'NW - M4'!E21))</f>
        <v>0</v>
      </c>
      <c r="W32" s="206" t="str">
        <f t="shared" si="11"/>
        <v/>
      </c>
      <c r="X32" s="250">
        <f t="shared" si="12"/>
        <v>0</v>
      </c>
      <c r="Y32" s="249">
        <f>IF('NW - M4'!I21=0,0,IF('NW - M4'!I21&gt;=0,'NW - M4'!I21))</f>
        <v>0</v>
      </c>
      <c r="Z32" s="206" t="str">
        <f t="shared" si="13"/>
        <v/>
      </c>
      <c r="AA32" s="250">
        <f t="shared" si="14"/>
        <v>0</v>
      </c>
      <c r="AB32" s="249">
        <f>IF('NW - M4'!H21=0,0,IF('NW - M4'!H21&gt;=0,'NW - M4'!H21))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c r="D33" s="149" t="str">
        <f>IF('NW - M4'!N22="","",IF('NW - M4'!N22="A+","A",IF('NW - M4'!N22="A","A",IF('NW - M4'!N22="B","B",IF('NW - M4'!N22="C","C",IF('NW - M4'!N22="C-","C",IF('NW - M4'!N22="D","D",IF('NW - M4'!N22="E","E"))))))))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M4'!D22=0,0,IF('NW - M4'!D22&gt;=0,'NW - M4'!D22))</f>
        <v>0</v>
      </c>
      <c r="Q33" s="206" t="str">
        <f t="shared" si="7"/>
        <v/>
      </c>
      <c r="R33" s="250">
        <f t="shared" si="8"/>
        <v>0</v>
      </c>
      <c r="S33" s="249">
        <f>IF('NW - M4'!F22=0,0,IF('NW - M4'!F22&gt;=0,'NW - M4'!F22))</f>
        <v>0</v>
      </c>
      <c r="T33" s="206" t="str">
        <f t="shared" si="9"/>
        <v/>
      </c>
      <c r="U33" s="250">
        <f t="shared" si="10"/>
        <v>0</v>
      </c>
      <c r="V33" s="249">
        <f>IF('NW - M4'!E22=0,0,IF('NW - M4'!E22&gt;=0,'NW - M4'!E22))</f>
        <v>0</v>
      </c>
      <c r="W33" s="206" t="str">
        <f t="shared" si="11"/>
        <v/>
      </c>
      <c r="X33" s="250">
        <f t="shared" si="12"/>
        <v>0</v>
      </c>
      <c r="Y33" s="249">
        <f>IF('NW - M4'!I22=0,0,IF('NW - M4'!I22&gt;=0,'NW - M4'!I22))</f>
        <v>0</v>
      </c>
      <c r="Z33" s="206" t="str">
        <f t="shared" si="13"/>
        <v/>
      </c>
      <c r="AA33" s="250">
        <f t="shared" si="14"/>
        <v>0</v>
      </c>
      <c r="AB33" s="249">
        <f>IF('NW - M4'!H22=0,0,IF('NW - M4'!H22&gt;=0,'NW - M4'!H22))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c r="D34" s="149" t="str">
        <f>IF('NW - M4'!N23="","",IF('NW - M4'!N23="A+","A",IF('NW - M4'!N23="A","A",IF('NW - M4'!N23="B","B",IF('NW - M4'!N23="C","C",IF('NW - M4'!N23="C-","C",IF('NW - M4'!N23="D","D",IF('NW - M4'!N23="E","E"))))))))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M4'!D23=0,0,IF('NW - M4'!D23&gt;=0,'NW - M4'!D23))</f>
        <v>0</v>
      </c>
      <c r="Q34" s="206" t="str">
        <f t="shared" si="7"/>
        <v/>
      </c>
      <c r="R34" s="250">
        <f t="shared" si="8"/>
        <v>0</v>
      </c>
      <c r="S34" s="249">
        <f>IF('NW - M4'!F23=0,0,IF('NW - M4'!F23&gt;=0,'NW - M4'!F23))</f>
        <v>0</v>
      </c>
      <c r="T34" s="206" t="str">
        <f t="shared" si="9"/>
        <v/>
      </c>
      <c r="U34" s="250">
        <f t="shared" si="10"/>
        <v>0</v>
      </c>
      <c r="V34" s="249">
        <f>IF('NW - M4'!E23=0,0,IF('NW - M4'!E23&gt;=0,'NW - M4'!E23))</f>
        <v>0</v>
      </c>
      <c r="W34" s="206" t="str">
        <f t="shared" si="11"/>
        <v/>
      </c>
      <c r="X34" s="250">
        <f t="shared" si="12"/>
        <v>0</v>
      </c>
      <c r="Y34" s="249">
        <f>IF('NW - M4'!I23=0,0,IF('NW - M4'!I23&gt;=0,'NW - M4'!I23))</f>
        <v>0</v>
      </c>
      <c r="Z34" s="206" t="str">
        <f t="shared" si="13"/>
        <v/>
      </c>
      <c r="AA34" s="250">
        <f t="shared" si="14"/>
        <v>0</v>
      </c>
      <c r="AB34" s="249">
        <f>IF('NW - M4'!H23=0,0,IF('NW - M4'!H23&gt;=0,'NW - M4'!H23))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c r="D35" s="149" t="str">
        <f>IF('NW - M4'!N24="","",IF('NW - M4'!N24="A+","A",IF('NW - M4'!N24="A","A",IF('NW - M4'!N24="B","B",IF('NW - M4'!N24="C","C",IF('NW - M4'!N24="C-","C",IF('NW - M4'!N24="D","D",IF('NW - M4'!N24="E","E"))))))))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M4'!D24=0,0,IF('NW - M4'!D24&gt;=0,'NW - M4'!D24))</f>
        <v>0</v>
      </c>
      <c r="Q35" s="206" t="str">
        <f t="shared" si="7"/>
        <v/>
      </c>
      <c r="R35" s="250">
        <f t="shared" si="8"/>
        <v>0</v>
      </c>
      <c r="S35" s="249">
        <f>IF('NW - M4'!F24=0,0,IF('NW - M4'!F24&gt;=0,'NW - M4'!F24))</f>
        <v>0</v>
      </c>
      <c r="T35" s="206" t="str">
        <f t="shared" si="9"/>
        <v/>
      </c>
      <c r="U35" s="250">
        <f t="shared" si="10"/>
        <v>0</v>
      </c>
      <c r="V35" s="249">
        <f>IF('NW - M4'!E24=0,0,IF('NW - M4'!E24&gt;=0,'NW - M4'!E24))</f>
        <v>0</v>
      </c>
      <c r="W35" s="206" t="str">
        <f t="shared" si="11"/>
        <v/>
      </c>
      <c r="X35" s="250">
        <f t="shared" si="12"/>
        <v>0</v>
      </c>
      <c r="Y35" s="249">
        <f>IF('NW - M4'!I24=0,0,IF('NW - M4'!I24&gt;=0,'NW - M4'!I24))</f>
        <v>0</v>
      </c>
      <c r="Z35" s="206" t="str">
        <f t="shared" si="13"/>
        <v/>
      </c>
      <c r="AA35" s="250">
        <f t="shared" si="14"/>
        <v>0</v>
      </c>
      <c r="AB35" s="249">
        <f>IF('NW - M4'!H24=0,0,IF('NW - M4'!H24&gt;=0,'NW - M4'!H24))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c r="D36" s="149" t="str">
        <f>IF('NW - M4'!N25="","",IF('NW - M4'!N25="A+","A",IF('NW - M4'!N25="A","A",IF('NW - M4'!N25="B","B",IF('NW - M4'!N25="C","C",IF('NW - M4'!N25="C-","C",IF('NW - M4'!N25="D","D",IF('NW - M4'!N25="E","E"))))))))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M4'!D25=0,0,IF('NW - M4'!D25&gt;=0,'NW - M4'!D25))</f>
        <v>0</v>
      </c>
      <c r="Q36" s="206" t="str">
        <f t="shared" si="7"/>
        <v/>
      </c>
      <c r="R36" s="250">
        <f t="shared" si="8"/>
        <v>0</v>
      </c>
      <c r="S36" s="249">
        <f>IF('NW - M4'!F25=0,0,IF('NW - M4'!F25&gt;=0,'NW - M4'!F25))</f>
        <v>0</v>
      </c>
      <c r="T36" s="206" t="str">
        <f t="shared" si="9"/>
        <v/>
      </c>
      <c r="U36" s="250">
        <f t="shared" si="10"/>
        <v>0</v>
      </c>
      <c r="V36" s="249">
        <f>IF('NW - M4'!E25=0,0,IF('NW - M4'!E25&gt;=0,'NW - M4'!E25))</f>
        <v>0</v>
      </c>
      <c r="W36" s="206" t="str">
        <f t="shared" si="11"/>
        <v/>
      </c>
      <c r="X36" s="250">
        <f t="shared" si="12"/>
        <v>0</v>
      </c>
      <c r="Y36" s="249">
        <f>IF('NW - M4'!I25=0,0,IF('NW - M4'!I25&gt;=0,'NW - M4'!I25))</f>
        <v>0</v>
      </c>
      <c r="Z36" s="206" t="str">
        <f t="shared" si="13"/>
        <v/>
      </c>
      <c r="AA36" s="250">
        <f t="shared" si="14"/>
        <v>0</v>
      </c>
      <c r="AB36" s="249">
        <f>IF('NW - M4'!H25=0,0,IF('NW - M4'!H25&gt;=0,'NW - M4'!H25))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c r="D37" s="149" t="str">
        <f>IF('NW - M4'!N26="","",IF('NW - M4'!N26="A+","A",IF('NW - M4'!N26="A","A",IF('NW - M4'!N26="B","B",IF('NW - M4'!N26="C","C",IF('NW - M4'!N26="C-","C",IF('NW - M4'!N26="D","D",IF('NW - M4'!N26="E","E"))))))))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M4'!D26=0,0,IF('NW - M4'!D26&gt;=0,'NW - M4'!D26))</f>
        <v>0</v>
      </c>
      <c r="Q37" s="206" t="str">
        <f t="shared" si="7"/>
        <v/>
      </c>
      <c r="R37" s="250">
        <f t="shared" si="8"/>
        <v>0</v>
      </c>
      <c r="S37" s="249">
        <f>IF('NW - M4'!F26=0,0,IF('NW - M4'!F26&gt;=0,'NW - M4'!F26))</f>
        <v>0</v>
      </c>
      <c r="T37" s="206" t="str">
        <f t="shared" si="9"/>
        <v/>
      </c>
      <c r="U37" s="250">
        <f t="shared" si="10"/>
        <v>0</v>
      </c>
      <c r="V37" s="249">
        <f>IF('NW - M4'!E26=0,0,IF('NW - M4'!E26&gt;=0,'NW - M4'!E26))</f>
        <v>0</v>
      </c>
      <c r="W37" s="206" t="str">
        <f t="shared" si="11"/>
        <v/>
      </c>
      <c r="X37" s="250">
        <f t="shared" si="12"/>
        <v>0</v>
      </c>
      <c r="Y37" s="249">
        <f>IF('NW - M4'!I26=0,0,IF('NW - M4'!I26&gt;=0,'NW - M4'!I26))</f>
        <v>0</v>
      </c>
      <c r="Z37" s="206" t="str">
        <f t="shared" si="13"/>
        <v/>
      </c>
      <c r="AA37" s="250">
        <f t="shared" si="14"/>
        <v>0</v>
      </c>
      <c r="AB37" s="249">
        <f>IF('NW - M4'!H26=0,0,IF('NW - M4'!H26&gt;=0,'NW - M4'!H26))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c r="D38" s="149" t="str">
        <f>IF('NW - M4'!N27="","",IF('NW - M4'!N27="A+","A",IF('NW - M4'!N27="A","A",IF('NW - M4'!N27="B","B",IF('NW - M4'!N27="C","C",IF('NW - M4'!N27="C-","C",IF('NW - M4'!N27="D","D",IF('NW - M4'!N27="E","E"))))))))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M4'!D27=0,0,IF('NW - M4'!D27&gt;=0,'NW - M4'!D27))</f>
        <v>0</v>
      </c>
      <c r="Q38" s="206" t="str">
        <f t="shared" si="7"/>
        <v/>
      </c>
      <c r="R38" s="250">
        <f t="shared" si="8"/>
        <v>0</v>
      </c>
      <c r="S38" s="249">
        <f>IF('NW - M4'!F27=0,0,IF('NW - M4'!F27&gt;=0,'NW - M4'!F27))</f>
        <v>0</v>
      </c>
      <c r="T38" s="206" t="str">
        <f t="shared" si="9"/>
        <v/>
      </c>
      <c r="U38" s="250">
        <f t="shared" si="10"/>
        <v>0</v>
      </c>
      <c r="V38" s="249">
        <f>IF('NW - M4'!E27=0,0,IF('NW - M4'!E27&gt;=0,'NW - M4'!E27))</f>
        <v>0</v>
      </c>
      <c r="W38" s="206" t="str">
        <f t="shared" si="11"/>
        <v/>
      </c>
      <c r="X38" s="250">
        <f t="shared" si="12"/>
        <v>0</v>
      </c>
      <c r="Y38" s="249">
        <f>IF('NW - M4'!I27=0,0,IF('NW - M4'!I27&gt;=0,'NW - M4'!I27))</f>
        <v>0</v>
      </c>
      <c r="Z38" s="206" t="str">
        <f t="shared" si="13"/>
        <v/>
      </c>
      <c r="AA38" s="250">
        <f t="shared" si="14"/>
        <v>0</v>
      </c>
      <c r="AB38" s="249">
        <f>IF('NW - M4'!H27=0,0,IF('NW - M4'!H27&gt;=0,'NW - M4'!H27))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c r="D39" s="149" t="str">
        <f>IF('NW - M4'!N28="","",IF('NW - M4'!N28="A+","A",IF('NW - M4'!N28="A","A",IF('NW - M4'!N28="B","B",IF('NW - M4'!N28="C","C",IF('NW - M4'!N28="C-","C",IF('NW - M4'!N28="D","D",IF('NW - M4'!N28="E","E"))))))))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M4'!D28=0,0,IF('NW - M4'!D28&gt;=0,'NW - M4'!D28))</f>
        <v>0</v>
      </c>
      <c r="Q39" s="206" t="str">
        <f t="shared" si="7"/>
        <v/>
      </c>
      <c r="R39" s="250">
        <f t="shared" si="8"/>
        <v>0</v>
      </c>
      <c r="S39" s="249">
        <f>IF('NW - M4'!F28=0,0,IF('NW - M4'!F28&gt;=0,'NW - M4'!F28))</f>
        <v>0</v>
      </c>
      <c r="T39" s="206" t="str">
        <f t="shared" si="9"/>
        <v/>
      </c>
      <c r="U39" s="250">
        <f t="shared" si="10"/>
        <v>0</v>
      </c>
      <c r="V39" s="249">
        <f>IF('NW - M4'!E28=0,0,IF('NW - M4'!E28&gt;=0,'NW - M4'!E28))</f>
        <v>0</v>
      </c>
      <c r="W39" s="206" t="str">
        <f t="shared" si="11"/>
        <v/>
      </c>
      <c r="X39" s="250">
        <f t="shared" si="12"/>
        <v>0</v>
      </c>
      <c r="Y39" s="249">
        <f>IF('NW - M4'!I28=0,0,IF('NW - M4'!I28&gt;=0,'NW - M4'!I28))</f>
        <v>0</v>
      </c>
      <c r="Z39" s="206" t="str">
        <f t="shared" si="13"/>
        <v/>
      </c>
      <c r="AA39" s="250">
        <f t="shared" si="14"/>
        <v>0</v>
      </c>
      <c r="AB39" s="249">
        <f>IF('NW - M4'!H28=0,0,IF('NW - M4'!H28&gt;=0,'NW - M4'!H28))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c r="D40" s="149" t="str">
        <f>IF('NW - M4'!N29="","",IF('NW - M4'!N29="A+","A",IF('NW - M4'!N29="A","A",IF('NW - M4'!N29="B","B",IF('NW - M4'!N29="C","C",IF('NW - M4'!N29="C-","C",IF('NW - M4'!N29="D","D",IF('NW - M4'!N29="E","E"))))))))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M4'!D29=0,0,IF('NW - M4'!D29&gt;=0,'NW - M4'!D29))</f>
        <v>0</v>
      </c>
      <c r="Q40" s="206" t="str">
        <f t="shared" si="7"/>
        <v/>
      </c>
      <c r="R40" s="250">
        <f t="shared" si="8"/>
        <v>0</v>
      </c>
      <c r="S40" s="249">
        <f>IF('NW - M4'!F29=0,0,IF('NW - M4'!F29&gt;=0,'NW - M4'!F29))</f>
        <v>0</v>
      </c>
      <c r="T40" s="206" t="str">
        <f t="shared" si="9"/>
        <v/>
      </c>
      <c r="U40" s="250">
        <f t="shared" si="10"/>
        <v>0</v>
      </c>
      <c r="V40" s="249">
        <f>IF('NW - M4'!E29=0,0,IF('NW - M4'!E29&gt;=0,'NW - M4'!E29))</f>
        <v>0</v>
      </c>
      <c r="W40" s="206" t="str">
        <f t="shared" si="11"/>
        <v/>
      </c>
      <c r="X40" s="250">
        <f t="shared" si="12"/>
        <v>0</v>
      </c>
      <c r="Y40" s="249">
        <f>IF('NW - M4'!I29=0,0,IF('NW - M4'!I29&gt;=0,'NW - M4'!I29))</f>
        <v>0</v>
      </c>
      <c r="Z40" s="206" t="str">
        <f t="shared" si="13"/>
        <v/>
      </c>
      <c r="AA40" s="250">
        <f t="shared" si="14"/>
        <v>0</v>
      </c>
      <c r="AB40" s="249">
        <f>IF('NW - M4'!H29=0,0,IF('NW - M4'!H29&gt;=0,'NW - M4'!H29))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c r="D41" s="149" t="str">
        <f>IF('NW - M4'!N30="","",IF('NW - M4'!N30="A+","A",IF('NW - M4'!N30="A","A",IF('NW - M4'!N30="B","B",IF('NW - M4'!N30="C","C",IF('NW - M4'!N30="C-","C",IF('NW - M4'!N30="D","D",IF('NW - M4'!N30="E","E"))))))))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M4'!D30=0,0,IF('NW - M4'!D30&gt;=0,'NW - M4'!D30))</f>
        <v>0</v>
      </c>
      <c r="Q41" s="206" t="str">
        <f t="shared" si="7"/>
        <v/>
      </c>
      <c r="R41" s="250">
        <f t="shared" si="8"/>
        <v>0</v>
      </c>
      <c r="S41" s="249">
        <f>IF('NW - M4'!F30=0,0,IF('NW - M4'!F30&gt;=0,'NW - M4'!F30))</f>
        <v>0</v>
      </c>
      <c r="T41" s="206" t="str">
        <f t="shared" si="9"/>
        <v/>
      </c>
      <c r="U41" s="250">
        <f t="shared" si="10"/>
        <v>0</v>
      </c>
      <c r="V41" s="249">
        <f>IF('NW - M4'!E30=0,0,IF('NW - M4'!E30&gt;=0,'NW - M4'!E30))</f>
        <v>0</v>
      </c>
      <c r="W41" s="206" t="str">
        <f t="shared" si="11"/>
        <v/>
      </c>
      <c r="X41" s="250">
        <f t="shared" si="12"/>
        <v>0</v>
      </c>
      <c r="Y41" s="249">
        <f>IF('NW - M4'!I30=0,0,IF('NW - M4'!I30&gt;=0,'NW - M4'!I30))</f>
        <v>0</v>
      </c>
      <c r="Z41" s="206" t="str">
        <f t="shared" si="13"/>
        <v/>
      </c>
      <c r="AA41" s="250">
        <f t="shared" si="14"/>
        <v>0</v>
      </c>
      <c r="AB41" s="249">
        <f>IF('NW - M4'!H30=0,0,IF('NW - M4'!H30&gt;=0,'NW - M4'!H30))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c r="D42" s="149" t="str">
        <f>IF('NW - M4'!N31="","",IF('NW - M4'!N31="A+","A",IF('NW - M4'!N31="A","A",IF('NW - M4'!N31="B","B",IF('NW - M4'!N31="C","C",IF('NW - M4'!N31="C-","C",IF('NW - M4'!N31="D","D",IF('NW - M4'!N31="E","E"))))))))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M4'!D31=0,0,IF('NW - M4'!D31&gt;=0,'NW - M4'!D31))</f>
        <v>0</v>
      </c>
      <c r="Q42" s="206" t="str">
        <f t="shared" si="7"/>
        <v/>
      </c>
      <c r="R42" s="250">
        <f t="shared" si="8"/>
        <v>0</v>
      </c>
      <c r="S42" s="249">
        <f>IF('NW - M4'!F31=0,0,IF('NW - M4'!F31&gt;=0,'NW - M4'!F31))</f>
        <v>0</v>
      </c>
      <c r="T42" s="206" t="str">
        <f t="shared" si="9"/>
        <v/>
      </c>
      <c r="U42" s="250">
        <f t="shared" si="10"/>
        <v>0</v>
      </c>
      <c r="V42" s="249">
        <f>IF('NW - M4'!E31=0,0,IF('NW - M4'!E31&gt;=0,'NW - M4'!E31))</f>
        <v>0</v>
      </c>
      <c r="W42" s="206" t="str">
        <f t="shared" si="11"/>
        <v/>
      </c>
      <c r="X42" s="250">
        <f t="shared" si="12"/>
        <v>0</v>
      </c>
      <c r="Y42" s="249">
        <f>IF('NW - M4'!I31=0,0,IF('NW - M4'!I31&gt;=0,'NW - M4'!I31))</f>
        <v>0</v>
      </c>
      <c r="Z42" s="206" t="str">
        <f t="shared" si="13"/>
        <v/>
      </c>
      <c r="AA42" s="250">
        <f t="shared" si="14"/>
        <v>0</v>
      </c>
      <c r="AB42" s="249">
        <f>IF('NW - M4'!H31=0,0,IF('NW - M4'!H31&gt;=0,'NW - M4'!H31))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c r="D43" s="149" t="str">
        <f>IF('NW - M4'!N32="","",IF('NW - M4'!N32="A+","A",IF('NW - M4'!N32="A","A",IF('NW - M4'!N32="B","B",IF('NW - M4'!N32="C","C",IF('NW - M4'!N32="C-","C",IF('NW - M4'!N32="D","D",IF('NW - M4'!N32="E","E"))))))))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M4'!D32=0,0,IF('NW - M4'!D32&gt;=0,'NW - M4'!D32))</f>
        <v>0</v>
      </c>
      <c r="Q43" s="206" t="str">
        <f t="shared" si="7"/>
        <v/>
      </c>
      <c r="R43" s="250">
        <f t="shared" si="8"/>
        <v>0</v>
      </c>
      <c r="S43" s="249">
        <f>IF('NW - M4'!F32=0,0,IF('NW - M4'!F32&gt;=0,'NW - M4'!F32))</f>
        <v>0</v>
      </c>
      <c r="T43" s="206" t="str">
        <f t="shared" si="9"/>
        <v/>
      </c>
      <c r="U43" s="250">
        <f t="shared" si="10"/>
        <v>0</v>
      </c>
      <c r="V43" s="249">
        <f>IF('NW - M4'!E32=0,0,IF('NW - M4'!E32&gt;=0,'NW - M4'!E32))</f>
        <v>0</v>
      </c>
      <c r="W43" s="206" t="str">
        <f t="shared" si="11"/>
        <v/>
      </c>
      <c r="X43" s="250">
        <f t="shared" si="12"/>
        <v>0</v>
      </c>
      <c r="Y43" s="249">
        <f>IF('NW - M4'!I32=0,0,IF('NW - M4'!I32&gt;=0,'NW - M4'!I32))</f>
        <v>0</v>
      </c>
      <c r="Z43" s="206" t="str">
        <f t="shared" si="13"/>
        <v/>
      </c>
      <c r="AA43" s="250">
        <f t="shared" si="14"/>
        <v>0</v>
      </c>
      <c r="AB43" s="249">
        <f>IF('NW - M4'!H32=0,0,IF('NW - M4'!H32&gt;=0,'NW - M4'!H32))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f>IF($J$1=4,2,IF($J$1="4A",2,IF($J$1="4B",2,IF($J$1="4C",2))))</f>
        <v>2</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c r="D44" s="149" t="str">
        <f>IF('NW - M4'!N33="","",IF('NW - M4'!N33="A+","A",IF('NW - M4'!N33="A","A",IF('NW - M4'!N33="B","B",IF('NW - M4'!N33="C","C",IF('NW - M4'!N33="C-","C",IF('NW - M4'!N33="D","D",IF('NW - M4'!N33="E","E"))))))))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M4'!D33=0,0,IF('NW - M4'!D33&gt;=0,'NW - M4'!D33))</f>
        <v>0</v>
      </c>
      <c r="Q44" s="206" t="str">
        <f t="shared" si="7"/>
        <v/>
      </c>
      <c r="R44" s="250">
        <f t="shared" si="8"/>
        <v>0</v>
      </c>
      <c r="S44" s="249">
        <f>IF('NW - M4'!F33=0,0,IF('NW - M4'!F33&gt;=0,'NW - M4'!F33))</f>
        <v>0</v>
      </c>
      <c r="T44" s="206" t="str">
        <f t="shared" si="9"/>
        <v/>
      </c>
      <c r="U44" s="250">
        <f t="shared" si="10"/>
        <v>0</v>
      </c>
      <c r="V44" s="249">
        <f>IF('NW - M4'!E33=0,0,IF('NW - M4'!E33&gt;=0,'NW - M4'!E33))</f>
        <v>0</v>
      </c>
      <c r="W44" s="206" t="str">
        <f t="shared" si="11"/>
        <v/>
      </c>
      <c r="X44" s="250">
        <f t="shared" si="12"/>
        <v>0</v>
      </c>
      <c r="Y44" s="249">
        <f>IF('NW - M4'!I33=0,0,IF('NW - M4'!I33&gt;=0,'NW - M4'!I33))</f>
        <v>0</v>
      </c>
      <c r="Z44" s="206" t="str">
        <f t="shared" si="13"/>
        <v/>
      </c>
      <c r="AA44" s="250">
        <f t="shared" si="14"/>
        <v>0</v>
      </c>
      <c r="AB44" s="249">
        <f>IF('NW - M4'!H33=0,0,IF('NW - M4'!H33&gt;=0,'NW - M4'!H33))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t="b">
        <f>IF($J$1=5,3,IF($J$1="5A",3,IF($J$1="5B",3,IF($J$1="5C",3))))</f>
        <v>0</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c r="D45" s="149" t="str">
        <f>IF('NW - M4'!N34="","",IF('NW - M4'!N34="A+","A",IF('NW - M4'!N34="A","A",IF('NW - M4'!N34="B","B",IF('NW - M4'!N34="C","C",IF('NW - M4'!N34="C-","C",IF('NW - M4'!N34="D","D",IF('NW - M4'!N34="E","E"))))))))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M4'!D34=0,0,IF('NW - M4'!D34&gt;=0,'NW - M4'!D34))</f>
        <v>0</v>
      </c>
      <c r="Q45" s="206" t="str">
        <f t="shared" si="7"/>
        <v/>
      </c>
      <c r="R45" s="250">
        <f t="shared" si="8"/>
        <v>0</v>
      </c>
      <c r="S45" s="249">
        <f>IF('NW - M4'!F34=0,0,IF('NW - M4'!F34&gt;=0,'NW - M4'!F34))</f>
        <v>0</v>
      </c>
      <c r="T45" s="206" t="str">
        <f t="shared" si="9"/>
        <v/>
      </c>
      <c r="U45" s="250">
        <f t="shared" si="10"/>
        <v>0</v>
      </c>
      <c r="V45" s="249">
        <f>IF('NW - M4'!E34=0,0,IF('NW - M4'!E34&gt;=0,'NW - M4'!E34))</f>
        <v>0</v>
      </c>
      <c r="W45" s="206" t="str">
        <f t="shared" si="11"/>
        <v/>
      </c>
      <c r="X45" s="250">
        <f t="shared" si="12"/>
        <v>0</v>
      </c>
      <c r="Y45" s="249">
        <f>IF('NW - M4'!I34=0,0,IF('NW - M4'!I34&gt;=0,'NW - M4'!I34))</f>
        <v>0</v>
      </c>
      <c r="Z45" s="206" t="str">
        <f t="shared" si="13"/>
        <v/>
      </c>
      <c r="AA45" s="250">
        <f t="shared" si="14"/>
        <v>0</v>
      </c>
      <c r="AB45" s="249">
        <f>IF('NW - M4'!H34=0,0,IF('NW - M4'!H34&gt;=0,'NW - M4'!H34))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t="b">
        <f>IF($J$1=6,4,IF($J$1="6A",4,IF($J$1="6B",4,IF($J$1="6C",4))))</f>
        <v>0</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c r="D46" s="149" t="str">
        <f>IF('NW - M4'!N35="","",IF('NW - M4'!N35="A+","A",IF('NW - M4'!N35="A","A",IF('NW - M4'!N35="B","B",IF('NW - M4'!N35="C","C",IF('NW - M4'!N35="C-","C",IF('NW - M4'!N35="D","D",IF('NW - M4'!N35="E","E"))))))))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M4'!D35=0,0,IF('NW - M4'!D35&gt;=0,'NW - M4'!D35))</f>
        <v>0</v>
      </c>
      <c r="Q46" s="206" t="str">
        <f t="shared" si="7"/>
        <v/>
      </c>
      <c r="R46" s="250">
        <f t="shared" si="8"/>
        <v>0</v>
      </c>
      <c r="S46" s="249">
        <f>IF('NW - M4'!F35=0,0,IF('NW - M4'!F35&gt;=0,'NW - M4'!F35))</f>
        <v>0</v>
      </c>
      <c r="T46" s="206" t="str">
        <f t="shared" si="9"/>
        <v/>
      </c>
      <c r="U46" s="250">
        <f t="shared" si="10"/>
        <v>0</v>
      </c>
      <c r="V46" s="249">
        <f>IF('NW - M4'!E35=0,0,IF('NW - M4'!E35&gt;=0,'NW - M4'!E35))</f>
        <v>0</v>
      </c>
      <c r="W46" s="206" t="str">
        <f t="shared" si="11"/>
        <v/>
      </c>
      <c r="X46" s="250">
        <f t="shared" si="12"/>
        <v>0</v>
      </c>
      <c r="Y46" s="249">
        <f>IF('NW - M4'!I35=0,0,IF('NW - M4'!I35&gt;=0,'NW - M4'!I35))</f>
        <v>0</v>
      </c>
      <c r="Z46" s="206" t="str">
        <f t="shared" si="13"/>
        <v/>
      </c>
      <c r="AA46" s="250">
        <f t="shared" si="14"/>
        <v>0</v>
      </c>
      <c r="AB46" s="249">
        <f>IF('NW - M4'!H35=0,0,IF('NW - M4'!H35&gt;=0,'NW - M4'!H35))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t="b">
        <f>IF($J$1=7,5,IF($J$1="7A",5,IF($J$1="7B",5,IF($J$1="7C",5))))</f>
        <v>0</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c r="D47" s="149" t="str">
        <f>IF('NW - M4'!N36="","",IF('NW - M4'!N36="A+","A",IF('NW - M4'!N36="A","A",IF('NW - M4'!N36="B","B",IF('NW - M4'!N36="C","C",IF('NW - M4'!N36="C-","C",IF('NW - M4'!N36="D","D",IF('NW - M4'!N36="E","E"))))))))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M4'!D36=0,0,IF('NW - M4'!D36&gt;=0,'NW - M4'!D36))</f>
        <v>0</v>
      </c>
      <c r="Q47" s="206" t="str">
        <f t="shared" si="7"/>
        <v/>
      </c>
      <c r="R47" s="250">
        <f t="shared" si="8"/>
        <v>0</v>
      </c>
      <c r="S47" s="249">
        <f>IF('NW - M4'!F36=0,0,IF('NW - M4'!F36&gt;=0,'NW - M4'!F36))</f>
        <v>0</v>
      </c>
      <c r="T47" s="206" t="str">
        <f t="shared" si="9"/>
        <v/>
      </c>
      <c r="U47" s="250">
        <f t="shared" si="10"/>
        <v>0</v>
      </c>
      <c r="V47" s="249">
        <f>IF('NW - M4'!E36=0,0,IF('NW - M4'!E36&gt;=0,'NW - M4'!E36))</f>
        <v>0</v>
      </c>
      <c r="W47" s="206" t="str">
        <f t="shared" si="11"/>
        <v/>
      </c>
      <c r="X47" s="250">
        <f t="shared" si="12"/>
        <v>0</v>
      </c>
      <c r="Y47" s="249">
        <f>IF('NW - M4'!I36=0,0,IF('NW - M4'!I36&gt;=0,'NW - M4'!I36))</f>
        <v>0</v>
      </c>
      <c r="Z47" s="206" t="str">
        <f t="shared" si="13"/>
        <v/>
      </c>
      <c r="AA47" s="250">
        <f t="shared" si="14"/>
        <v>0</v>
      </c>
      <c r="AB47" s="249">
        <f>IF('NW - M4'!H36=0,0,IF('NW - M4'!H36&gt;=0,'NW - M4'!H36))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c r="D48" s="149" t="str">
        <f>IF('NW - M4'!N37="","",IF('NW - M4'!N37="A+","A",IF('NW - M4'!N37="A","A",IF('NW - M4'!N37="B","B",IF('NW - M4'!N37="C","C",IF('NW - M4'!N37="C-","C",IF('NW - M4'!N37="D","D",IF('NW - M4'!N37="E","E"))))))))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M4'!D37=0,0,IF('NW - M4'!D37&gt;=0,'NW - M4'!D37))</f>
        <v>0</v>
      </c>
      <c r="Q48" s="206" t="str">
        <f t="shared" si="7"/>
        <v/>
      </c>
      <c r="R48" s="250">
        <f t="shared" si="8"/>
        <v>0</v>
      </c>
      <c r="S48" s="249">
        <f>IF('NW - M4'!F37=0,0,IF('NW - M4'!F37&gt;=0,'NW - M4'!F37))</f>
        <v>0</v>
      </c>
      <c r="T48" s="206" t="str">
        <f t="shared" si="9"/>
        <v/>
      </c>
      <c r="U48" s="250">
        <f t="shared" si="10"/>
        <v>0</v>
      </c>
      <c r="V48" s="249">
        <f>IF('NW - M4'!E37=0,0,IF('NW - M4'!E37&gt;=0,'NW - M4'!E37))</f>
        <v>0</v>
      </c>
      <c r="W48" s="206" t="str">
        <f t="shared" si="11"/>
        <v/>
      </c>
      <c r="X48" s="250">
        <f t="shared" si="12"/>
        <v>0</v>
      </c>
      <c r="Y48" s="249">
        <f>IF('NW - M4'!I37=0,0,IF('NW - M4'!I37&gt;=0,'NW - M4'!I37))</f>
        <v>0</v>
      </c>
      <c r="Z48" s="206" t="str">
        <f t="shared" si="13"/>
        <v/>
      </c>
      <c r="AA48" s="250">
        <f t="shared" si="14"/>
        <v>0</v>
      </c>
      <c r="AB48" s="249">
        <f>IF('NW - M4'!H37=0,0,IF('NW - M4'!H37&gt;=0,'NW - M4'!H37))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c r="D49" s="149" t="str">
        <f>IF('NW - M4'!N38="","",IF('NW - M4'!N38="A+","A",IF('NW - M4'!N38="A","A",IF('NW - M4'!N38="B","B",IF('NW - M4'!N38="C","C",IF('NW - M4'!N38="C-","C",IF('NW - M4'!N38="D","D",IF('NW - M4'!N38="E","E"))))))))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M4'!D38=0,0,IF('NW - M4'!D38&gt;=0,'NW - M4'!D38))</f>
        <v>0</v>
      </c>
      <c r="Q49" s="206" t="str">
        <f t="shared" si="7"/>
        <v/>
      </c>
      <c r="R49" s="250">
        <f t="shared" si="8"/>
        <v>0</v>
      </c>
      <c r="S49" s="249">
        <f>IF('NW - M4'!F38=0,0,IF('NW - M4'!F38&gt;=0,'NW - M4'!F38))</f>
        <v>0</v>
      </c>
      <c r="T49" s="206" t="str">
        <f t="shared" si="9"/>
        <v/>
      </c>
      <c r="U49" s="250">
        <f t="shared" si="10"/>
        <v>0</v>
      </c>
      <c r="V49" s="249">
        <f>IF('NW - M4'!E38=0,0,IF('NW - M4'!E38&gt;=0,'NW - M4'!E38))</f>
        <v>0</v>
      </c>
      <c r="W49" s="206" t="str">
        <f t="shared" si="11"/>
        <v/>
      </c>
      <c r="X49" s="250">
        <f t="shared" si="12"/>
        <v>0</v>
      </c>
      <c r="Y49" s="249">
        <f>IF('NW - M4'!I38=0,0,IF('NW - M4'!I38&gt;=0,'NW - M4'!I38))</f>
        <v>0</v>
      </c>
      <c r="Z49" s="206" t="str">
        <f t="shared" si="13"/>
        <v/>
      </c>
      <c r="AA49" s="250">
        <f t="shared" si="14"/>
        <v>0</v>
      </c>
      <c r="AB49" s="249">
        <f>IF('NW - M4'!H38=0,0,IF('NW - M4'!H38&gt;=0,'NW - M4'!H38))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c r="D50" s="149" t="str">
        <f>IF('NW - M4'!N39="","",IF('NW - M4'!N39="A+","A",IF('NW - M4'!N39="A","A",IF('NW - M4'!N39="B","B",IF('NW - M4'!N39="C","C",IF('NW - M4'!N39="C-","C",IF('NW - M4'!N39="D","D",IF('NW - M4'!N39="E","E"))))))))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M4'!D39=0,0,IF('NW - M4'!D39&gt;=0,'NW - M4'!D39))</f>
        <v>0</v>
      </c>
      <c r="Q50" s="206" t="str">
        <f t="shared" si="7"/>
        <v/>
      </c>
      <c r="R50" s="250">
        <f t="shared" si="8"/>
        <v>0</v>
      </c>
      <c r="S50" s="249">
        <f>IF('NW - M4'!F39=0,0,IF('NW - M4'!F39&gt;=0,'NW - M4'!F39))</f>
        <v>0</v>
      </c>
      <c r="T50" s="206" t="str">
        <f t="shared" si="9"/>
        <v/>
      </c>
      <c r="U50" s="250">
        <f t="shared" si="10"/>
        <v>0</v>
      </c>
      <c r="V50" s="249">
        <f>IF('NW - M4'!E39=0,0,IF('NW - M4'!E39&gt;=0,'NW - M4'!E39))</f>
        <v>0</v>
      </c>
      <c r="W50" s="206" t="str">
        <f t="shared" si="11"/>
        <v/>
      </c>
      <c r="X50" s="250">
        <f t="shared" si="12"/>
        <v>0</v>
      </c>
      <c r="Y50" s="249">
        <f>IF('NW - M4'!I39=0,0,IF('NW - M4'!I39&gt;=0,'NW - M4'!I39))</f>
        <v>0</v>
      </c>
      <c r="Z50" s="206" t="str">
        <f t="shared" si="13"/>
        <v/>
      </c>
      <c r="AA50" s="250">
        <f t="shared" si="14"/>
        <v>0</v>
      </c>
      <c r="AB50" s="249">
        <f>IF('NW - M4'!H39=0,0,IF('NW - M4'!H39&gt;=0,'NW - M4'!H39))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c r="D51" s="149" t="str">
        <f>IF('NW - M4'!N40="","",IF('NW - M4'!N40="A+","A",IF('NW - M4'!N40="A","A",IF('NW - M4'!N40="B","B",IF('NW - M4'!N40="C","C",IF('NW - M4'!N40="C-","C",IF('NW - M4'!N40="D","D",IF('NW - M4'!N40="E","E"))))))))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M4'!D40=0,0,IF('NW - M4'!D40&gt;=0,'NW - M4'!D40))</f>
        <v>0</v>
      </c>
      <c r="Q51" s="206" t="str">
        <f t="shared" si="7"/>
        <v/>
      </c>
      <c r="R51" s="250">
        <f t="shared" si="8"/>
        <v>0</v>
      </c>
      <c r="S51" s="249">
        <f>IF('NW - M4'!F40=0,0,IF('NW - M4'!F40&gt;=0,'NW - M4'!F40))</f>
        <v>0</v>
      </c>
      <c r="T51" s="206" t="str">
        <f t="shared" si="9"/>
        <v/>
      </c>
      <c r="U51" s="250">
        <f t="shared" si="10"/>
        <v>0</v>
      </c>
      <c r="V51" s="249">
        <f>IF('NW - M4'!E40=0,0,IF('NW - M4'!E40&gt;=0,'NW - M4'!E40))</f>
        <v>0</v>
      </c>
      <c r="W51" s="206" t="str">
        <f t="shared" si="11"/>
        <v/>
      </c>
      <c r="X51" s="250">
        <f t="shared" si="12"/>
        <v>0</v>
      </c>
      <c r="Y51" s="249">
        <f>IF('NW - M4'!I40=0,0,IF('NW - M4'!I40&gt;=0,'NW - M4'!I40))</f>
        <v>0</v>
      </c>
      <c r="Z51" s="206" t="str">
        <f t="shared" si="13"/>
        <v/>
      </c>
      <c r="AA51" s="250">
        <f t="shared" si="14"/>
        <v>0</v>
      </c>
      <c r="AB51" s="249">
        <f>IF('NW - M4'!H40=0,0,IF('NW - M4'!H40&gt;=0,'NW - M4'!H40))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22"/>
      <c r="D52" s="149" t="str">
        <f>IF('NW - M4'!N41="","",IF('NW - M4'!N41="A+","A",IF('NW - M4'!N41="A","A",IF('NW - M4'!N41="B","B",IF('NW - M4'!N41="C","C",IF('NW - M4'!N41="C-","C",IF('NW - M4'!N41="D","D",IF('NW - M4'!N41="E","E"))))))))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M4'!D41=0,0,IF('NW - M4'!D41&gt;=0,'NW - M4'!D41))</f>
        <v>0</v>
      </c>
      <c r="Q52" s="207" t="str">
        <f t="shared" si="7"/>
        <v/>
      </c>
      <c r="R52" s="250">
        <f t="shared" si="8"/>
        <v>0</v>
      </c>
      <c r="S52" s="249">
        <f>IF('NW - M4'!F41=0,0,IF('NW - M4'!F41&gt;=0,'NW - M4'!F41))</f>
        <v>0</v>
      </c>
      <c r="T52" s="207" t="str">
        <f t="shared" si="9"/>
        <v/>
      </c>
      <c r="U52" s="250">
        <f t="shared" si="10"/>
        <v>0</v>
      </c>
      <c r="V52" s="249">
        <f>IF('NW - M4'!E41=0,0,IF('NW - M4'!E41&gt;=0,'NW - M4'!E41))</f>
        <v>0</v>
      </c>
      <c r="W52" s="207" t="str">
        <f t="shared" si="11"/>
        <v/>
      </c>
      <c r="X52" s="250">
        <f t="shared" si="12"/>
        <v>0</v>
      </c>
      <c r="Y52" s="249">
        <f>IF('NW - M4'!I41=0,0,IF('NW - M4'!I41&gt;=0,'NW - M4'!I41))</f>
        <v>0</v>
      </c>
      <c r="Z52" s="207" t="str">
        <f t="shared" si="13"/>
        <v/>
      </c>
      <c r="AA52" s="250">
        <f t="shared" si="14"/>
        <v>0</v>
      </c>
      <c r="AB52" s="249">
        <f>IF('NW - M4'!H41=0,0,IF('NW - M4'!H41&gt;=0,'NW - M4'!H41))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3</v>
      </c>
      <c r="C53" s="341" t="s">
        <v>76</v>
      </c>
      <c r="D53" s="342"/>
      <c r="E53" s="342"/>
      <c r="F53" s="342"/>
      <c r="G53" s="342"/>
      <c r="H53" s="342"/>
      <c r="I53" s="342"/>
      <c r="J53" s="342"/>
      <c r="K53" s="342"/>
      <c r="L53" s="342"/>
      <c r="M53" s="342"/>
      <c r="N53" s="343"/>
      <c r="O53" s="347">
        <f>IF(AD53=0,0,IF(AD53&gt;0,AD54))</f>
        <v>0</v>
      </c>
      <c r="P53" s="348"/>
      <c r="Q53" s="349"/>
      <c r="R53" s="350">
        <f>IF(AE53=0,0,IF(AE53&gt;0,AE54))</f>
        <v>1</v>
      </c>
      <c r="S53" s="348"/>
      <c r="T53" s="349"/>
      <c r="U53" s="350">
        <f>IF(AF53=0,0,IF(AF53&gt;0,AF54))</f>
        <v>0.5</v>
      </c>
      <c r="V53" s="348"/>
      <c r="W53" s="351"/>
      <c r="X53" s="347">
        <f>IF(AG53=0,0,IF(AG53&gt;0,AG54))</f>
        <v>1</v>
      </c>
      <c r="Y53" s="348"/>
      <c r="Z53" s="349"/>
      <c r="AA53" s="350">
        <f>IF(AH53=0,0,IF(AH53&gt;0,AH54))</f>
        <v>0.5</v>
      </c>
      <c r="AB53" s="348"/>
      <c r="AC53" s="351"/>
      <c r="AD53" s="173">
        <f>SUM(AD17:AD52)</f>
        <v>0</v>
      </c>
      <c r="AE53" s="126">
        <f>SUM(AE17:AE52)</f>
        <v>2</v>
      </c>
      <c r="AF53" s="126">
        <f>SUM(AF17:AF52)</f>
        <v>1</v>
      </c>
      <c r="AG53" s="126">
        <f>SUM(AG17:AG52)</f>
        <v>2</v>
      </c>
      <c r="AH53" s="126">
        <f>SUM(AH17:AH52)</f>
        <v>1</v>
      </c>
      <c r="AI53" s="127">
        <f>SUM(AV17:AV52)</f>
        <v>1.2</v>
      </c>
      <c r="AJ53" s="127">
        <f t="shared" ref="AJ53:AS53" si="42">SUM(AJ17:AJ52)</f>
        <v>0</v>
      </c>
      <c r="AK53" s="127">
        <f t="shared" si="42"/>
        <v>0.6</v>
      </c>
      <c r="AL53" s="127">
        <f t="shared" si="42"/>
        <v>0.6</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f>IF(AI53=0,"",IF(AI53&gt;0,$AI$54))</f>
        <v>0.39999999999999997</v>
      </c>
      <c r="AW53" s="129" t="str">
        <f>IF(AW54=0,"",IF(AW54&gt;0,AW54/AX54))</f>
        <v/>
      </c>
      <c r="AX53" s="1">
        <f>SUM(AX42:AX52)</f>
        <v>2</v>
      </c>
      <c r="AY53" s="130" t="str">
        <f>IF(L54=0,"",IF(L54&gt;0,AY54/L54))</f>
        <v/>
      </c>
      <c r="AZ53" s="131">
        <f>IF(B53=0,"",IF(B53&gt;0,AZ55/B53))</f>
        <v>1</v>
      </c>
      <c r="BA53" s="132"/>
      <c r="BB53" s="133" t="str">
        <f>IF(BD53=0,"",IF(BD53&gt;0,BD53/BB54))</f>
        <v/>
      </c>
      <c r="BC53" s="132"/>
      <c r="BD53" s="132">
        <f>SUM(BD17:BD52)</f>
        <v>0</v>
      </c>
      <c r="BE53" s="133" t="str">
        <f>IF(BG53=0,"",IF(BG53&gt;0,BG53/BE54))</f>
        <v/>
      </c>
      <c r="BF53" s="31"/>
      <c r="BG53" s="134">
        <f>SUM(BG17:BG52)</f>
        <v>0</v>
      </c>
    </row>
    <row r="54" spans="1:59" x14ac:dyDescent="0.2">
      <c r="B54" s="143">
        <f>COUNTIF(B17:B52,0)</f>
        <v>33</v>
      </c>
      <c r="C54" s="5"/>
      <c r="D54" s="5"/>
      <c r="E54" s="5"/>
      <c r="F54" s="5"/>
      <c r="G54" s="5"/>
      <c r="H54" s="5"/>
      <c r="I54" s="5"/>
      <c r="L54" s="5">
        <f>COUNTA(L17:L52)</f>
        <v>0</v>
      </c>
      <c r="M54" s="5">
        <f>COUNTA(M17:M52)</f>
        <v>0</v>
      </c>
      <c r="O54" s="332" t="s">
        <v>35</v>
      </c>
      <c r="P54" s="333"/>
      <c r="Q54" s="333"/>
      <c r="R54" s="333"/>
      <c r="S54" s="333"/>
      <c r="T54" s="333"/>
      <c r="U54" s="333"/>
      <c r="V54" s="333"/>
      <c r="W54" s="334"/>
      <c r="X54" s="338" t="s">
        <v>36</v>
      </c>
      <c r="Y54" s="339"/>
      <c r="Z54" s="339"/>
      <c r="AA54" s="339"/>
      <c r="AB54" s="339"/>
      <c r="AC54" s="340"/>
      <c r="AD54" s="135">
        <f t="shared" ref="AD54:AI54" si="43">AD53/AD56</f>
        <v>0</v>
      </c>
      <c r="AE54" s="135">
        <f t="shared" si="43"/>
        <v>1</v>
      </c>
      <c r="AF54" s="135">
        <f t="shared" si="43"/>
        <v>0.5</v>
      </c>
      <c r="AG54" s="135">
        <f t="shared" si="43"/>
        <v>1</v>
      </c>
      <c r="AH54" s="135">
        <f t="shared" si="43"/>
        <v>0.5</v>
      </c>
      <c r="AI54" s="135">
        <f t="shared" si="43"/>
        <v>0.39999999999999997</v>
      </c>
      <c r="AJ54" s="106">
        <f t="shared" ref="AJ54:AS54" si="44">AJ53/10</f>
        <v>0</v>
      </c>
      <c r="AK54" s="106">
        <f t="shared" si="44"/>
        <v>0.06</v>
      </c>
      <c r="AL54" s="106">
        <f t="shared" si="44"/>
        <v>0.06</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66</v>
      </c>
      <c r="AY54" s="136">
        <f>SUM(AY17:AY51)</f>
        <v>0</v>
      </c>
      <c r="AZ54" s="5">
        <f>COUNTA(AZ17:AZ52)</f>
        <v>0</v>
      </c>
      <c r="BA54" s="3"/>
      <c r="BB54" s="5">
        <f>COUNTA(BB17:BB52)</f>
        <v>0</v>
      </c>
      <c r="BC54" s="5"/>
      <c r="BD54" s="5"/>
      <c r="BE54" s="5">
        <f>COUNTA(BE17:BE52)</f>
        <v>0</v>
      </c>
      <c r="BF54" s="3"/>
      <c r="BG54" s="3"/>
    </row>
    <row r="55" spans="1:59" ht="13.5" thickBot="1" x14ac:dyDescent="0.25">
      <c r="L55" s="3"/>
      <c r="M55" s="3"/>
      <c r="O55" s="335">
        <f>IF(B54=0,"",IF(B54&gt;0,(O53+R53+U53)/3))</f>
        <v>0.5</v>
      </c>
      <c r="P55" s="336"/>
      <c r="Q55" s="336"/>
      <c r="R55" s="336"/>
      <c r="S55" s="336"/>
      <c r="T55" s="336"/>
      <c r="U55" s="336"/>
      <c r="V55" s="336"/>
      <c r="W55" s="337"/>
      <c r="X55" s="335">
        <f>IF(B54=0,"",IF(B54&gt;0,(X53+AA53)/2))</f>
        <v>0.75</v>
      </c>
      <c r="Y55" s="336"/>
      <c r="Z55" s="336"/>
      <c r="AA55" s="336"/>
      <c r="AB55" s="336"/>
      <c r="AC55" s="337"/>
      <c r="AD55" s="3">
        <f>COUNTIF(O17:O52,0)</f>
        <v>34</v>
      </c>
      <c r="AE55" s="3">
        <f>COUNTIF(R17:R52,0)</f>
        <v>34</v>
      </c>
      <c r="AF55" s="3">
        <f>COUNTIF(U17:U52,0)</f>
        <v>34</v>
      </c>
      <c r="AG55" s="3">
        <f>COUNTIF(X17:X52,0)</f>
        <v>34</v>
      </c>
      <c r="AH55" s="3">
        <f>COUNTIF(AA17:AA52,0)</f>
        <v>34</v>
      </c>
      <c r="AI55" s="3">
        <f>COUNTIF(AV17:AV52,"")</f>
        <v>33</v>
      </c>
      <c r="AJ55" s="106" t="e">
        <f>AJ53/K65*K67</f>
        <v>#DIV/0!</v>
      </c>
      <c r="AK55" s="106">
        <f>AK53/L65*L67</f>
        <v>0.19999999999999998</v>
      </c>
      <c r="AL55" s="106">
        <f>AL53/M65*M67</f>
        <v>0.19999999999999998</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3</v>
      </c>
      <c r="BA55" s="3"/>
      <c r="BB55" s="5"/>
      <c r="BC55" s="5"/>
      <c r="BD55" s="5"/>
      <c r="BE55" s="5"/>
      <c r="BF55" s="3"/>
      <c r="BG55" s="3"/>
    </row>
    <row r="56" spans="1:59" ht="20.25" thickBot="1" x14ac:dyDescent="0.45">
      <c r="B56" s="46" t="s">
        <v>7</v>
      </c>
      <c r="C56" s="174"/>
      <c r="D56" s="174"/>
      <c r="E56" s="174"/>
      <c r="F56" s="174"/>
      <c r="G56" s="174"/>
      <c r="H56" s="174"/>
      <c r="I56" s="174"/>
      <c r="J56" s="329">
        <f>J1</f>
        <v>4</v>
      </c>
      <c r="K56" s="330"/>
      <c r="L56" s="331"/>
      <c r="M56" s="32"/>
      <c r="O56" s="137"/>
      <c r="P56" s="137"/>
      <c r="Q56" s="137"/>
      <c r="R56" s="137"/>
      <c r="S56" s="137"/>
      <c r="T56" s="137"/>
      <c r="U56" s="137"/>
      <c r="V56" s="137"/>
      <c r="W56" s="137"/>
      <c r="X56" s="137"/>
      <c r="Y56" s="137"/>
      <c r="Z56" s="137"/>
      <c r="AA56" s="137"/>
      <c r="AB56" s="137"/>
      <c r="AC56" s="137"/>
      <c r="AD56" s="3">
        <f t="shared" ref="AD56:AI56" si="45">36-AD55</f>
        <v>2</v>
      </c>
      <c r="AE56" s="3">
        <f t="shared" si="45"/>
        <v>2</v>
      </c>
      <c r="AF56" s="3">
        <f t="shared" si="45"/>
        <v>2</v>
      </c>
      <c r="AG56" s="3">
        <f t="shared" si="45"/>
        <v>2</v>
      </c>
      <c r="AH56" s="3">
        <f t="shared" si="45"/>
        <v>2</v>
      </c>
      <c r="AI56" s="3">
        <f t="shared" si="45"/>
        <v>3</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0">
        <f>J2</f>
        <v>0</v>
      </c>
      <c r="K57" s="321"/>
      <c r="L57" s="322"/>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f>AD54</f>
        <v>0</v>
      </c>
      <c r="K60" s="106">
        <f>AE54</f>
        <v>1</v>
      </c>
      <c r="L60" s="106">
        <f>AF54</f>
        <v>0.5</v>
      </c>
      <c r="M60" s="106">
        <f>AG54</f>
        <v>1</v>
      </c>
      <c r="N60" s="106">
        <f>AH54</f>
        <v>0.5</v>
      </c>
      <c r="O60" s="106">
        <f>$AV$53</f>
        <v>0.39999999999999997</v>
      </c>
      <c r="P60" s="140" t="str">
        <f>$AW$53</f>
        <v/>
      </c>
      <c r="Q60" s="106">
        <f>$AZ$53</f>
        <v>1</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1</v>
      </c>
      <c r="M65" s="1">
        <f>COUNTIF($J$17:$J$52,"C")</f>
        <v>2</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f>K65/$B$53</f>
        <v>0</v>
      </c>
      <c r="L67" s="106">
        <f>L65/$B$53</f>
        <v>0.33333333333333331</v>
      </c>
      <c r="M67" s="106">
        <f>M65/$B$53</f>
        <v>0.66666666666666663</v>
      </c>
      <c r="N67" s="106">
        <f>N65/$B$53</f>
        <v>0</v>
      </c>
      <c r="O67" s="106">
        <f>O65/$B$53</f>
        <v>0</v>
      </c>
      <c r="P67" s="106"/>
      <c r="Q67" s="106"/>
    </row>
    <row r="68" spans="10:17" x14ac:dyDescent="0.2">
      <c r="J68" s="142" t="s">
        <v>85</v>
      </c>
      <c r="K68" s="106" t="e">
        <f>AJ55</f>
        <v>#DIV/0!</v>
      </c>
      <c r="L68" s="106">
        <f>AK55</f>
        <v>0.19999999999999998</v>
      </c>
      <c r="M68" s="106">
        <f>AL55</f>
        <v>0.19999999999999998</v>
      </c>
      <c r="N68" s="106" t="e">
        <f>AM55</f>
        <v>#DIV/0!</v>
      </c>
      <c r="O68" s="106" t="e">
        <f>AN55</f>
        <v>#DIV/0!</v>
      </c>
      <c r="P68" s="106"/>
      <c r="Q68" s="106"/>
    </row>
    <row r="69" spans="10:17" x14ac:dyDescent="0.2">
      <c r="J69" s="142" t="s">
        <v>86</v>
      </c>
      <c r="K69" s="106">
        <f>K66/$B$53</f>
        <v>0</v>
      </c>
      <c r="L69" s="106">
        <f>L66/$B$53</f>
        <v>0</v>
      </c>
      <c r="M69" s="106">
        <f>M66/$B$53</f>
        <v>0</v>
      </c>
      <c r="N69" s="106">
        <f>N66/$B$53</f>
        <v>0</v>
      </c>
      <c r="O69" s="106">
        <f>O66/$B$53</f>
        <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f>IF($E$6="ja",K67,IF($E6="nee",K69))</f>
        <v>0</v>
      </c>
      <c r="L71" s="106">
        <f>IF($E$6="ja",L67,IF($E6="nee",L69))</f>
        <v>0.33333333333333331</v>
      </c>
      <c r="M71" s="106">
        <f>IF($E$6="ja",M67,IF($E6="nee",M69))</f>
        <v>0.66666666666666663</v>
      </c>
      <c r="N71" s="106">
        <f>IF($E$6="ja",N67,IF($E6="nee",N69))</f>
        <v>0</v>
      </c>
      <c r="O71" s="106">
        <f>IF($E$6="ja",O67,IF($E6="nee",O69))</f>
        <v>0</v>
      </c>
      <c r="P71" s="106"/>
      <c r="Q71" s="106"/>
    </row>
    <row r="72" spans="10:17" x14ac:dyDescent="0.2">
      <c r="J72" s="142" t="s">
        <v>89</v>
      </c>
      <c r="K72" s="106" t="e">
        <f>IF($E$6="ja",K68,IF($E$6="nee",K70))</f>
        <v>#DIV/0!</v>
      </c>
      <c r="L72" s="106">
        <f>IF($E$6="ja",L68,IF($E$6="nee",L70))</f>
        <v>0.19999999999999998</v>
      </c>
      <c r="M72" s="106">
        <f>IF($E$6="ja",M68,IF($E$6="nee",M70))</f>
        <v>0.19999999999999998</v>
      </c>
      <c r="N72" s="106" t="e">
        <f>IF($E$6="ja",N68,IF($E$6="nee",N70))</f>
        <v>#DIV/0!</v>
      </c>
      <c r="O72" s="106" t="e">
        <f>IF($E$6="ja",O68,IF($E$6="nee",O70))</f>
        <v>#DIV/0!</v>
      </c>
      <c r="P72" s="106"/>
      <c r="Q72" s="106"/>
    </row>
  </sheetData>
  <sheetProtection algorithmName="SHA-512" hashValue="A2SPOVMHsy1j5u7ljkIuV4r0AKlQfH/vVQ4cMcdXMPcHM7pD/TJzcDzFJ/qILuW28wDu+zs7jd5zsxAGseqclw==" saltValue="T51/uxAQ5H9AgI3kqMGOYw==" spinCount="100000" sheet="1" objects="1" scenarios="1"/>
  <mergeCells count="20">
    <mergeCell ref="R53:T53"/>
    <mergeCell ref="U53:W53"/>
    <mergeCell ref="X53:Z53"/>
    <mergeCell ref="AA53:AC53"/>
    <mergeCell ref="J57:L57"/>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s>
  <phoneticPr fontId="3" type="noConversion"/>
  <conditionalFormatting sqref="AZ17:AZ52">
    <cfRule type="cellIs" dxfId="1066" priority="1" stopIfTrue="1" operator="equal">
      <formula>"x"</formula>
    </cfRule>
    <cfRule type="expression" dxfId="1065" priority="2" stopIfTrue="1">
      <formula>$B17&gt;0</formula>
    </cfRule>
    <cfRule type="cellIs" dxfId="1064" priority="3" stopIfTrue="1" operator="equal">
      <formula>""</formula>
    </cfRule>
  </conditionalFormatting>
  <conditionalFormatting sqref="BB17:BB52">
    <cfRule type="expression" dxfId="1063" priority="4" stopIfTrue="1">
      <formula>$BC17=""</formula>
    </cfRule>
    <cfRule type="expression" dxfId="1062" priority="5" stopIfTrue="1">
      <formula>$BC17&lt;$BA17</formula>
    </cfRule>
    <cfRule type="expression" dxfId="1061" priority="6" stopIfTrue="1">
      <formula>$BC17&gt;=$BA17</formula>
    </cfRule>
  </conditionalFormatting>
  <conditionalFormatting sqref="BE17:BE52">
    <cfRule type="expression" dxfId="1060" priority="7" stopIfTrue="1">
      <formula>$BF17=""</formula>
    </cfRule>
    <cfRule type="expression" dxfId="1059" priority="8" stopIfTrue="1">
      <formula>$BF17&lt;$BC17</formula>
    </cfRule>
    <cfRule type="expression" dxfId="1058" priority="9" stopIfTrue="1">
      <formula>$BF17&gt;=$BC17</formula>
    </cfRule>
  </conditionalFormatting>
  <conditionalFormatting sqref="C17:C52">
    <cfRule type="expression" dxfId="1057" priority="10" stopIfTrue="1">
      <formula>$C17=""</formula>
    </cfRule>
    <cfRule type="expression" dxfId="1056" priority="11" stopIfTrue="1">
      <formula>$C17&gt;$E17</formula>
    </cfRule>
    <cfRule type="expression" dxfId="1055" priority="12" stopIfTrue="1">
      <formula>$C17&lt;$E17</formula>
    </cfRule>
  </conditionalFormatting>
  <conditionalFormatting sqref="E17:E52">
    <cfRule type="expression" dxfId="1054" priority="13" stopIfTrue="1">
      <formula>$E17=""</formula>
    </cfRule>
    <cfRule type="expression" dxfId="1053" priority="14" stopIfTrue="1">
      <formula>$E17&gt;$C17</formula>
    </cfRule>
    <cfRule type="expression" dxfId="1052" priority="15" stopIfTrue="1">
      <formula>$E17&lt;$C17</formula>
    </cfRule>
  </conditionalFormatting>
  <conditionalFormatting sqref="B17:B52">
    <cfRule type="cellIs" dxfId="1051" priority="16" stopIfTrue="1" operator="equal">
      <formula>""</formula>
    </cfRule>
    <cfRule type="cellIs" dxfId="1050" priority="17" stopIfTrue="1" operator="equal">
      <formula>0</formula>
    </cfRule>
    <cfRule type="expression" dxfId="1049" priority="18" stopIfTrue="1">
      <formula>$AV17&lt;0.8</formula>
    </cfRule>
  </conditionalFormatting>
  <conditionalFormatting sqref="E6:E7 J8:K8">
    <cfRule type="cellIs" dxfId="1048" priority="19" stopIfTrue="1" operator="equal">
      <formula>"ja"</formula>
    </cfRule>
    <cfRule type="cellIs" dxfId="1047" priority="20" stopIfTrue="1" operator="equal">
      <formula>"nee"</formula>
    </cfRule>
  </conditionalFormatting>
  <conditionalFormatting sqref="BA17:BA52 BG53 BA53:BE53">
    <cfRule type="expression" dxfId="1046" priority="21" stopIfTrue="1">
      <formula>$U$2="ja"</formula>
    </cfRule>
    <cfRule type="expression" dxfId="1045" priority="22" stopIfTrue="1">
      <formula>$X$2="ja"</formula>
    </cfRule>
  </conditionalFormatting>
  <conditionalFormatting sqref="BE10:BE12 BB10:BB12">
    <cfRule type="expression" dxfId="1044" priority="23" stopIfTrue="1">
      <formula>$X$2="ja"</formula>
    </cfRule>
  </conditionalFormatting>
  <conditionalFormatting sqref="BC17:BD52 BF17:BG52">
    <cfRule type="expression" dxfId="1043" priority="24" stopIfTrue="1">
      <formula>$X$2="ja"</formula>
    </cfRule>
  </conditionalFormatting>
  <conditionalFormatting sqref="AW53">
    <cfRule type="cellIs" dxfId="1042" priority="25" stopIfTrue="1" operator="equal">
      <formula>""</formula>
    </cfRule>
    <cfRule type="cellIs" dxfId="1041" priority="26" stopIfTrue="1" operator="greaterThan">
      <formula>0.03</formula>
    </cfRule>
  </conditionalFormatting>
  <conditionalFormatting sqref="AW17:AW52">
    <cfRule type="cellIs" dxfId="1040" priority="27" stopIfTrue="1" operator="equal">
      <formula>1</formula>
    </cfRule>
    <cfRule type="cellIs" dxfId="1039" priority="28" stopIfTrue="1" operator="equal">
      <formula>""</formula>
    </cfRule>
  </conditionalFormatting>
  <conditionalFormatting sqref="AY17:AY52">
    <cfRule type="cellIs" dxfId="1038" priority="29" stopIfTrue="1" operator="equal">
      <formula>1</formula>
    </cfRule>
    <cfRule type="cellIs" dxfId="1037" priority="30" stopIfTrue="1" operator="lessThan">
      <formula>1</formula>
    </cfRule>
    <cfRule type="cellIs" dxfId="1036" priority="31" stopIfTrue="1" operator="equal">
      <formula>""</formula>
    </cfRule>
  </conditionalFormatting>
  <conditionalFormatting sqref="AV10:AV12">
    <cfRule type="cellIs" dxfId="1035" priority="32" stopIfTrue="1" operator="equal">
      <formula>1</formula>
    </cfRule>
    <cfRule type="cellIs" dxfId="1034" priority="33" stopIfTrue="1" operator="lessThan">
      <formula>1</formula>
    </cfRule>
  </conditionalFormatting>
  <conditionalFormatting sqref="N10:N12">
    <cfRule type="expression" dxfId="1033" priority="34" stopIfTrue="1">
      <formula>$U$2="ja"</formula>
    </cfRule>
    <cfRule type="expression" dxfId="1032" priority="35" stopIfTrue="1">
      <formula>$X$2="ja"</formula>
    </cfRule>
  </conditionalFormatting>
  <conditionalFormatting sqref="O10:Q12">
    <cfRule type="expression" dxfId="1031" priority="36" stopIfTrue="1">
      <formula>$U$1="ja"</formula>
    </cfRule>
    <cfRule type="expression" dxfId="1030" priority="37" stopIfTrue="1">
      <formula>$X$1="ja"</formula>
    </cfRule>
    <cfRule type="expression" dxfId="1029" priority="38" stopIfTrue="1">
      <formula>$AD$1="ja"</formula>
    </cfRule>
  </conditionalFormatting>
  <conditionalFormatting sqref="R10:T12">
    <cfRule type="expression" dxfId="1028" priority="39" stopIfTrue="1">
      <formula>$AA$1="ja"</formula>
    </cfRule>
    <cfRule type="expression" dxfId="1027" priority="40" stopIfTrue="1">
      <formula>$AD$1="ja"</formula>
    </cfRule>
  </conditionalFormatting>
  <conditionalFormatting sqref="U11:U12">
    <cfRule type="expression" dxfId="1026" priority="41" stopIfTrue="1">
      <formula>$AD$1="ja"</formula>
    </cfRule>
  </conditionalFormatting>
  <conditionalFormatting sqref="X10:X12 AA10:AC12">
    <cfRule type="expression" dxfId="1025" priority="42" stopIfTrue="1">
      <formula>$X$1="ja"</formula>
    </cfRule>
    <cfRule type="expression" dxfId="1024" priority="43" stopIfTrue="1">
      <formula>$AA$1="ja"</formula>
    </cfRule>
    <cfRule type="expression" dxfId="1023" priority="44" stopIfTrue="1">
      <formula>$AD$1="ja"</formula>
    </cfRule>
  </conditionalFormatting>
  <conditionalFormatting sqref="AT17:AU52">
    <cfRule type="cellIs" dxfId="1022" priority="45" stopIfTrue="1" operator="notEqual">
      <formula>""</formula>
    </cfRule>
  </conditionalFormatting>
  <conditionalFormatting sqref="M17:M52">
    <cfRule type="cellIs" dxfId="1021" priority="46" stopIfTrue="1" operator="equal">
      <formula>"x"</formula>
    </cfRule>
    <cfRule type="cellIs" dxfId="1020" priority="47" stopIfTrue="1" operator="equal">
      <formula>""</formula>
    </cfRule>
  </conditionalFormatting>
  <conditionalFormatting sqref="H17:I52">
    <cfRule type="cellIs" dxfId="1019" priority="48" stopIfTrue="1" operator="equal">
      <formula>""</formula>
    </cfRule>
  </conditionalFormatting>
  <conditionalFormatting sqref="L17:L52">
    <cfRule type="cellIs" dxfId="1018" priority="49" stopIfTrue="1" operator="equal">
      <formula>"x"</formula>
    </cfRule>
    <cfRule type="cellIs" dxfId="1017" priority="50" stopIfTrue="1" operator="equal">
      <formula>""</formula>
    </cfRule>
  </conditionalFormatting>
  <conditionalFormatting sqref="N17:N52">
    <cfRule type="cellIs" dxfId="1016" priority="51" stopIfTrue="1" operator="equal">
      <formula>""</formula>
    </cfRule>
    <cfRule type="cellIs" dxfId="1015" priority="52" stopIfTrue="1" operator="greaterThan">
      <formula>""</formula>
    </cfRule>
  </conditionalFormatting>
  <conditionalFormatting sqref="J17:K52">
    <cfRule type="cellIs" dxfId="1014" priority="53" stopIfTrue="1" operator="equal">
      <formula>""</formula>
    </cfRule>
  </conditionalFormatting>
  <conditionalFormatting sqref="F17:G52">
    <cfRule type="expression" dxfId="1013" priority="54" stopIfTrue="1">
      <formula>""</formula>
    </cfRule>
  </conditionalFormatting>
  <conditionalFormatting sqref="S17:S52 V17:V52 Y17:Y52 P17:P52 AB17:AB52">
    <cfRule type="cellIs" dxfId="1012" priority="55" stopIfTrue="1" operator="equal">
      <formula>0</formula>
    </cfRule>
    <cfRule type="cellIs" dxfId="1011" priority="56" stopIfTrue="1" operator="greaterThan">
      <formula>0</formula>
    </cfRule>
  </conditionalFormatting>
  <conditionalFormatting sqref="Q17:Q52 T17:T52 W17:W52 Z17:Z52 AC17:AC52">
    <cfRule type="cellIs" dxfId="1010" priority="57" stopIfTrue="1" operator="equal">
      <formula>""</formula>
    </cfRule>
    <cfRule type="cellIs" dxfId="1009" priority="58" stopIfTrue="1" operator="greaterThanOrEqual">
      <formula>1.3</formula>
    </cfRule>
    <cfRule type="cellIs" dxfId="1008" priority="59" stopIfTrue="1" operator="lessThan">
      <formula>0.8</formula>
    </cfRule>
  </conditionalFormatting>
  <conditionalFormatting sqref="AV17:AV52">
    <cfRule type="cellIs" dxfId="1007" priority="60" stopIfTrue="1" operator="equal">
      <formula>1</formula>
    </cfRule>
    <cfRule type="cellIs" dxfId="1006" priority="61" stopIfTrue="1" operator="lessThan">
      <formula>0.8</formula>
    </cfRule>
    <cfRule type="cellIs" dxfId="1005" priority="62" stopIfTrue="1" operator="between">
      <formula>0.8</formula>
      <formula>1</formula>
    </cfRule>
  </conditionalFormatting>
  <conditionalFormatting sqref="D17:D52">
    <cfRule type="cellIs" dxfId="1004" priority="63" stopIfTrue="1" operator="equal">
      <formula>""</formula>
    </cfRule>
    <cfRule type="cellIs" dxfId="1003" priority="64" stopIfTrue="1" operator="greaterThan">
      <formula>""</formula>
    </cfRule>
  </conditionalFormatting>
  <conditionalFormatting sqref="O17:O52">
    <cfRule type="cellIs" dxfId="1002" priority="65" stopIfTrue="1" operator="equal">
      <formula>0</formula>
    </cfRule>
    <cfRule type="expression" dxfId="1001" priority="66" stopIfTrue="1">
      <formula>$Q17&gt;=0.8</formula>
    </cfRule>
    <cfRule type="expression" dxfId="1000" priority="67" stopIfTrue="1">
      <formula>$Q17&lt;0.8</formula>
    </cfRule>
  </conditionalFormatting>
  <conditionalFormatting sqref="R17:R52">
    <cfRule type="cellIs" dxfId="999" priority="68" stopIfTrue="1" operator="equal">
      <formula>0</formula>
    </cfRule>
    <cfRule type="expression" dxfId="998" priority="69" stopIfTrue="1">
      <formula>$T17&gt;=0.8</formula>
    </cfRule>
    <cfRule type="expression" dxfId="997" priority="70" stopIfTrue="1">
      <formula>$T17&lt;0.8</formula>
    </cfRule>
  </conditionalFormatting>
  <conditionalFormatting sqref="U17:U52">
    <cfRule type="cellIs" dxfId="996" priority="71" stopIfTrue="1" operator="equal">
      <formula>0</formula>
    </cfRule>
    <cfRule type="expression" dxfId="995" priority="72" stopIfTrue="1">
      <formula>$W17&gt;=0.8</formula>
    </cfRule>
    <cfRule type="expression" dxfId="994" priority="73" stopIfTrue="1">
      <formula>$W17&lt;0.8</formula>
    </cfRule>
  </conditionalFormatting>
  <conditionalFormatting sqref="X17:X52">
    <cfRule type="cellIs" dxfId="993" priority="74" stopIfTrue="1" operator="equal">
      <formula>0</formula>
    </cfRule>
    <cfRule type="expression" dxfId="992" priority="75" stopIfTrue="1">
      <formula>$Z17&gt;=0.8</formula>
    </cfRule>
    <cfRule type="expression" dxfId="991" priority="76" stopIfTrue="1">
      <formula>$Z17&lt;0.8</formula>
    </cfRule>
  </conditionalFormatting>
  <conditionalFormatting sqref="AA17:AA52">
    <cfRule type="cellIs" dxfId="990" priority="77" stopIfTrue="1" operator="equal">
      <formula>0</formula>
    </cfRule>
    <cfRule type="expression" dxfId="989" priority="78" stopIfTrue="1">
      <formula>$AC17&gt;=0.8</formula>
    </cfRule>
    <cfRule type="expression" dxfId="988" priority="79" stopIfTrue="1">
      <formula>$AC17&lt;0.8</formula>
    </cfRule>
  </conditionalFormatting>
  <conditionalFormatting sqref="Y10:Z12">
    <cfRule type="expression" dxfId="987" priority="159" stopIfTrue="1">
      <formula>$AA$1="ja"</formula>
    </cfRule>
    <cfRule type="expression" dxfId="986" priority="160" stopIfTrue="1">
      <formula>$AD$1="ja"</formula>
    </cfRule>
    <cfRule type="expression" dxfId="985" priority="161" stopIfTrue="1">
      <formula>$X$1="ja"</formula>
    </cfRule>
  </conditionalFormatting>
  <conditionalFormatting sqref="U10 V10:W12">
    <cfRule type="expression" dxfId="984" priority="162" stopIfTrue="1">
      <formula>$AD$1="ja"</formula>
    </cfRule>
  </conditionalFormatting>
  <dataValidations xWindow="262" yWindow="459"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2:AG51"/>
  <sheetViews>
    <sheetView showGridLines="0" showRowColHeaders="0" topLeftCell="D4" zoomScale="65" zoomScaleNormal="65" workbookViewId="0">
      <selection activeCell="H5" sqref="H5"/>
    </sheetView>
  </sheetViews>
  <sheetFormatPr defaultRowHeight="12.75" x14ac:dyDescent="0.2"/>
  <cols>
    <col min="1" max="1" width="5" bestFit="1" customWidth="1"/>
    <col min="2" max="2" width="20.7109375" style="54" customWidth="1"/>
    <col min="3" max="3" width="4" customWidth="1"/>
    <col min="5" max="6" width="18" customWidth="1"/>
    <col min="8" max="8" width="9.5703125" bestFit="1" customWidth="1"/>
    <col min="10" max="10" width="12.42578125" bestFit="1" customWidth="1"/>
    <col min="11" max="11" width="9.5703125" bestFit="1" customWidth="1"/>
    <col min="12" max="12" width="10.85546875" bestFit="1" customWidth="1"/>
    <col min="14" max="15" width="9.5703125" bestFit="1" customWidth="1"/>
    <col min="16" max="16" width="12.42578125" bestFit="1" customWidth="1"/>
    <col min="19" max="19" width="12.42578125" bestFit="1" customWidth="1"/>
    <col min="20" max="20" width="9.5703125" bestFit="1" customWidth="1"/>
    <col min="21" max="21" width="9.5703125" customWidth="1"/>
    <col min="22" max="22" width="10.85546875" bestFit="1" customWidth="1"/>
    <col min="24" max="25" width="9.42578125" style="1" bestFit="1" customWidth="1"/>
    <col min="26" max="26" width="12.42578125" style="1" bestFit="1" customWidth="1"/>
    <col min="27" max="27" width="9.140625" style="1"/>
  </cols>
  <sheetData>
    <row r="2" spans="1:33" ht="21" x14ac:dyDescent="0.4">
      <c r="D2" s="316"/>
      <c r="E2" s="316"/>
      <c r="F2" s="292"/>
      <c r="G2" s="292"/>
      <c r="H2" s="251"/>
      <c r="I2" s="316"/>
      <c r="J2" s="316"/>
      <c r="K2" s="314"/>
      <c r="L2" s="314"/>
      <c r="M2" s="314"/>
      <c r="N2" s="314"/>
      <c r="O2" s="314"/>
      <c r="P2" s="314"/>
    </row>
    <row r="3" spans="1:33" ht="13.5" thickBot="1" x14ac:dyDescent="0.25"/>
    <row r="4" spans="1:33" ht="21.75" thickBot="1" x14ac:dyDescent="0.45">
      <c r="A4" s="41"/>
      <c r="B4" s="263" t="str">
        <f>BEGINBLAD!A5</f>
        <v>namen leerlingen:</v>
      </c>
      <c r="E4" s="364" t="s">
        <v>24</v>
      </c>
      <c r="F4" s="364"/>
      <c r="G4" s="365"/>
      <c r="H4" s="217">
        <v>3</v>
      </c>
      <c r="I4" s="357" t="str">
        <f>VLOOKUP($H$4,BEGINBLAD!A1:B41,2)</f>
        <v>leerling 3</v>
      </c>
      <c r="J4" s="358"/>
      <c r="K4" s="358"/>
      <c r="L4" s="358"/>
      <c r="M4" s="358"/>
      <c r="N4" s="358"/>
      <c r="O4" s="358"/>
      <c r="P4" s="358"/>
      <c r="Q4" s="358"/>
      <c r="R4" s="358"/>
      <c r="S4" s="358"/>
      <c r="T4" s="363"/>
      <c r="U4" s="260"/>
      <c r="X4" s="260"/>
      <c r="Y4" s="260"/>
      <c r="Z4" s="260"/>
      <c r="AA4" s="260"/>
      <c r="AB4" s="260"/>
    </row>
    <row r="5" spans="1:33" ht="12.75" customHeight="1" x14ac:dyDescent="0.2">
      <c r="A5" s="262">
        <f>BEGINBLAD!A6</f>
        <v>1</v>
      </c>
      <c r="B5" s="264" t="str">
        <f>BEGINBLAD!B6</f>
        <v>leerling 1</v>
      </c>
      <c r="X5" s="30"/>
      <c r="Y5" s="30"/>
      <c r="Z5" s="30"/>
      <c r="AA5" s="30"/>
      <c r="AB5" s="29"/>
    </row>
    <row r="6" spans="1:33" ht="12.75" customHeight="1" x14ac:dyDescent="0.2">
      <c r="A6" s="262">
        <f>BEGINBLAD!A7</f>
        <v>2</v>
      </c>
      <c r="B6" s="264" t="str">
        <f>BEGINBLAD!B7</f>
        <v>leerling 2</v>
      </c>
      <c r="I6" s="287"/>
      <c r="J6" s="287"/>
      <c r="K6" s="287"/>
      <c r="L6" s="287"/>
      <c r="M6" s="287"/>
      <c r="N6" s="287"/>
      <c r="O6" s="287"/>
      <c r="P6" s="287"/>
      <c r="Q6" s="287"/>
      <c r="R6" s="287"/>
      <c r="S6" s="287"/>
      <c r="T6" s="287"/>
      <c r="U6" s="287"/>
      <c r="V6" s="287"/>
      <c r="W6" s="287"/>
      <c r="X6" s="279"/>
      <c r="Y6" s="280"/>
      <c r="Z6" s="280"/>
      <c r="AA6" s="30"/>
      <c r="AB6" s="29"/>
    </row>
    <row r="7" spans="1:33" ht="12.75" customHeight="1" x14ac:dyDescent="0.3">
      <c r="A7" s="262">
        <f>BEGINBLAD!A8</f>
        <v>3</v>
      </c>
      <c r="B7" s="264" t="str">
        <f>BEGINBLAD!B8</f>
        <v>leerling 3</v>
      </c>
      <c r="H7" s="32"/>
      <c r="I7" s="362" t="s">
        <v>136</v>
      </c>
      <c r="J7" s="362"/>
      <c r="K7" s="362"/>
      <c r="L7" s="362"/>
      <c r="M7" s="287"/>
      <c r="N7" s="287"/>
      <c r="O7" s="287"/>
      <c r="P7" s="287"/>
      <c r="Q7" s="287"/>
      <c r="R7" s="362" t="s">
        <v>137</v>
      </c>
      <c r="S7" s="362"/>
      <c r="T7" s="362"/>
      <c r="U7" s="362"/>
      <c r="V7" s="362"/>
      <c r="W7" s="281"/>
      <c r="X7" s="282"/>
      <c r="Y7" s="287"/>
      <c r="Z7" s="287"/>
      <c r="AA7" s="294"/>
      <c r="AB7" s="289"/>
      <c r="AC7" s="36"/>
      <c r="AD7" s="36"/>
      <c r="AE7" s="36"/>
      <c r="AF7" s="36"/>
      <c r="AG7" s="36"/>
    </row>
    <row r="8" spans="1:33" ht="12.75" customHeight="1" x14ac:dyDescent="0.2">
      <c r="A8" s="262">
        <f>BEGINBLAD!A9</f>
        <v>4</v>
      </c>
      <c r="B8" s="264">
        <f>BEGINBLAD!B9</f>
        <v>0</v>
      </c>
      <c r="H8" s="36"/>
      <c r="I8" s="280" t="s">
        <v>128</v>
      </c>
      <c r="J8" s="280" t="s">
        <v>129</v>
      </c>
      <c r="K8" s="280" t="s">
        <v>114</v>
      </c>
      <c r="L8" s="280" t="s">
        <v>101</v>
      </c>
      <c r="M8" s="280" t="s">
        <v>88</v>
      </c>
      <c r="N8" s="280" t="s">
        <v>132</v>
      </c>
      <c r="O8" s="280" t="s">
        <v>131</v>
      </c>
      <c r="P8" s="280" t="s">
        <v>133</v>
      </c>
      <c r="Q8" s="287"/>
      <c r="R8" s="280" t="s">
        <v>128</v>
      </c>
      <c r="S8" s="280" t="s">
        <v>129</v>
      </c>
      <c r="T8" s="280" t="s">
        <v>114</v>
      </c>
      <c r="U8" s="280"/>
      <c r="V8" s="280" t="s">
        <v>101</v>
      </c>
      <c r="W8" s="280" t="s">
        <v>88</v>
      </c>
      <c r="X8" s="280" t="s">
        <v>132</v>
      </c>
      <c r="Y8" s="280" t="s">
        <v>131</v>
      </c>
      <c r="Z8" s="280" t="s">
        <v>133</v>
      </c>
      <c r="AA8" s="295"/>
      <c r="AB8" s="290"/>
      <c r="AC8" s="36"/>
      <c r="AD8" s="36"/>
      <c r="AE8" s="36"/>
      <c r="AF8" s="36"/>
      <c r="AG8" s="36"/>
    </row>
    <row r="9" spans="1:33" ht="12.75" customHeight="1" x14ac:dyDescent="0.2">
      <c r="A9" s="262">
        <f>BEGINBLAD!A10</f>
        <v>5</v>
      </c>
      <c r="B9" s="264">
        <f>BEGINBLAD!B10</f>
        <v>0</v>
      </c>
      <c r="H9" s="36"/>
      <c r="I9" s="280" t="s">
        <v>127</v>
      </c>
      <c r="J9" s="283">
        <f t="shared" ref="J9:J17" si="0">P9*L9</f>
        <v>0.62083333333333335</v>
      </c>
      <c r="K9" s="283">
        <f t="shared" ref="K9:K17" si="1">0.8*L9</f>
        <v>0.64000000000000012</v>
      </c>
      <c r="L9" s="283">
        <f t="shared" ref="L9:L17" si="2">IF(M9="A",1,IF(M9="B",0.8,IF(M9="C",0.6,IF(M9="D",0.4,IF(M9="E",0.2)))))</f>
        <v>0.8</v>
      </c>
      <c r="M9" s="279" t="str">
        <f>VLOOKUP($H$4,'RIO - M4'!$A$17:$AB$52,10)</f>
        <v>B</v>
      </c>
      <c r="N9" s="284">
        <f>VLOOKUP($H$4,'NW - M4'!$B$6:$N$41,12)</f>
        <v>2.4833333333333334</v>
      </c>
      <c r="O9" s="284">
        <f>VLOOKUP($H$4,'RIO - M4'!$A$17:$AB$52,11)</f>
        <v>3.2</v>
      </c>
      <c r="P9" s="288">
        <f t="shared" ref="P9:P17" si="3">(N9/O9)</f>
        <v>0.77604166666666663</v>
      </c>
      <c r="Q9" s="287"/>
      <c r="R9" s="280" t="s">
        <v>127</v>
      </c>
      <c r="S9" s="283">
        <f t="shared" ref="S9:S17" si="4">Z9*V9</f>
        <v>0.7</v>
      </c>
      <c r="T9" s="283">
        <f t="shared" ref="T9:T17" si="5">0.8*V9</f>
        <v>0.64000000000000012</v>
      </c>
      <c r="U9" s="283"/>
      <c r="V9" s="283">
        <f t="shared" ref="V9:V17" si="6">IF(W9="A",1,IF(W9="B",0.8,IF(W9="C",0.6,IF(W9="D",0.4,IF(W9="E",0.2)))))</f>
        <v>0.8</v>
      </c>
      <c r="W9" s="279" t="str">
        <f>VLOOKUP($H$4,'RIO - M4'!$A$17:$AB$52,10)</f>
        <v>B</v>
      </c>
      <c r="X9" s="284">
        <f>VLOOKUP($H$4,'NW - M4'!$B$6:$N$41,4)</f>
        <v>2.8</v>
      </c>
      <c r="Y9" s="284">
        <f>VLOOKUP($H$4,'RIO - M4'!$A$17:$AB$52,11)</f>
        <v>3.2</v>
      </c>
      <c r="Z9" s="288">
        <f t="shared" ref="Z9:Z17" si="7">(X9/Y9)</f>
        <v>0.87499999999999989</v>
      </c>
      <c r="AA9" s="294"/>
      <c r="AB9" s="289"/>
      <c r="AC9" s="36"/>
      <c r="AD9" s="36"/>
      <c r="AE9" s="36"/>
      <c r="AF9" s="36"/>
      <c r="AG9" s="36"/>
    </row>
    <row r="10" spans="1:33" ht="12.75" customHeight="1" x14ac:dyDescent="0.3">
      <c r="A10" s="262">
        <f>BEGINBLAD!A11</f>
        <v>6</v>
      </c>
      <c r="B10" s="264">
        <f>BEGINBLAD!B11</f>
        <v>0</v>
      </c>
      <c r="H10" s="252"/>
      <c r="I10" s="280" t="s">
        <v>126</v>
      </c>
      <c r="J10" s="283">
        <f t="shared" si="0"/>
        <v>0.72499999999999998</v>
      </c>
      <c r="K10" s="283">
        <f t="shared" si="1"/>
        <v>0.64000000000000012</v>
      </c>
      <c r="L10" s="283">
        <f t="shared" si="2"/>
        <v>0.8</v>
      </c>
      <c r="M10" s="279" t="str">
        <f>VLOOKUP($H$4,'RIO - E4'!$A$17:$AB$52,10)</f>
        <v>B</v>
      </c>
      <c r="N10" s="284">
        <f>VLOOKUP($H$4,'NW - E4'!$B$6:$N$41,12)</f>
        <v>2.9</v>
      </c>
      <c r="O10" s="284">
        <f>VLOOKUP($H$4,'RIO - E4'!$A$17:$AB$52,11)</f>
        <v>3.2</v>
      </c>
      <c r="P10" s="288">
        <f t="shared" si="3"/>
        <v>0.90624999999999989</v>
      </c>
      <c r="Q10" s="287"/>
      <c r="R10" s="280" t="s">
        <v>126</v>
      </c>
      <c r="S10" s="283">
        <f t="shared" si="4"/>
        <v>0.92500000000000004</v>
      </c>
      <c r="T10" s="283">
        <f t="shared" si="5"/>
        <v>0.64000000000000012</v>
      </c>
      <c r="U10" s="283"/>
      <c r="V10" s="283">
        <f t="shared" si="6"/>
        <v>0.8</v>
      </c>
      <c r="W10" s="279" t="str">
        <f>VLOOKUP($H$4,'RIO - E4'!$A$17:$AB$52,10)</f>
        <v>B</v>
      </c>
      <c r="X10" s="284">
        <f>VLOOKUP($H$4,'NW - E4'!$B$6:$N$41,4)</f>
        <v>3.7</v>
      </c>
      <c r="Y10" s="284">
        <f>VLOOKUP($H$4,'RIO - E4'!$A$17:$AB$52,11)</f>
        <v>3.2</v>
      </c>
      <c r="Z10" s="288">
        <f t="shared" si="7"/>
        <v>1.15625</v>
      </c>
      <c r="AA10" s="295"/>
      <c r="AB10" s="290"/>
      <c r="AC10" s="36"/>
      <c r="AD10" s="36"/>
      <c r="AE10" s="36"/>
      <c r="AF10" s="36"/>
      <c r="AG10" s="36"/>
    </row>
    <row r="11" spans="1:33" ht="12.75" customHeight="1" x14ac:dyDescent="0.2">
      <c r="A11" s="262">
        <f>BEGINBLAD!A12</f>
        <v>7</v>
      </c>
      <c r="B11" s="264">
        <f>BEGINBLAD!B12</f>
        <v>0</v>
      </c>
      <c r="H11" s="253"/>
      <c r="I11" s="280" t="s">
        <v>125</v>
      </c>
      <c r="J11" s="283">
        <f t="shared" si="0"/>
        <v>0.53749999999999998</v>
      </c>
      <c r="K11" s="283">
        <f t="shared" si="1"/>
        <v>0.48</v>
      </c>
      <c r="L11" s="283">
        <f t="shared" si="2"/>
        <v>0.6</v>
      </c>
      <c r="M11" s="279" t="str">
        <f>VLOOKUP($H$4,'RIO - M5'!$A$17:$AB$52,10)</f>
        <v>C</v>
      </c>
      <c r="N11" s="284">
        <f>VLOOKUP($H$4,'NW - M5'!$B$6:$N$41,12)</f>
        <v>2.15</v>
      </c>
      <c r="O11" s="284">
        <f>VLOOKUP($H$4,'RIO - M5'!$A$17:$AB$52,11)</f>
        <v>2.4</v>
      </c>
      <c r="P11" s="288">
        <f t="shared" si="3"/>
        <v>0.89583333333333337</v>
      </c>
      <c r="Q11" s="287"/>
      <c r="R11" s="280" t="s">
        <v>125</v>
      </c>
      <c r="S11" s="283">
        <f t="shared" si="4"/>
        <v>0.75</v>
      </c>
      <c r="T11" s="283">
        <f t="shared" si="5"/>
        <v>0.48</v>
      </c>
      <c r="U11" s="283"/>
      <c r="V11" s="283">
        <f t="shared" si="6"/>
        <v>0.6</v>
      </c>
      <c r="W11" s="279" t="str">
        <f>VLOOKUP($H$4,'RIO - M5'!$A$17:$AB$52,10)</f>
        <v>C</v>
      </c>
      <c r="X11" s="284">
        <f>VLOOKUP($H$4,'NW - M5'!$B$6:$N$41,4)</f>
        <v>3</v>
      </c>
      <c r="Y11" s="284">
        <f>VLOOKUP($H$4,'RIO - M5'!$A$17:$AB$52,11)</f>
        <v>2.4</v>
      </c>
      <c r="Z11" s="288">
        <f t="shared" si="7"/>
        <v>1.25</v>
      </c>
      <c r="AA11" s="294"/>
      <c r="AB11" s="289"/>
      <c r="AC11" s="36"/>
      <c r="AD11" s="36"/>
      <c r="AE11" s="36"/>
      <c r="AF11" s="36"/>
      <c r="AG11" s="36"/>
    </row>
    <row r="12" spans="1:33" ht="12.75" customHeight="1" x14ac:dyDescent="0.2">
      <c r="A12" s="262">
        <f>BEGINBLAD!A13</f>
        <v>8</v>
      </c>
      <c r="B12" s="264">
        <f>BEGINBLAD!B13</f>
        <v>0</v>
      </c>
      <c r="H12" s="254"/>
      <c r="I12" s="280" t="s">
        <v>124</v>
      </c>
      <c r="J12" s="283">
        <f t="shared" si="0"/>
        <v>0.65</v>
      </c>
      <c r="K12" s="283">
        <f t="shared" si="1"/>
        <v>0.48</v>
      </c>
      <c r="L12" s="283">
        <f t="shared" si="2"/>
        <v>0.6</v>
      </c>
      <c r="M12" s="279" t="str">
        <f>VLOOKUP($H$4,'RIO - E5'!$A$17:$AB$52,10)</f>
        <v>C</v>
      </c>
      <c r="N12" s="284">
        <f>VLOOKUP($H$4,'NW - E5'!$B$6:$N$41,12)</f>
        <v>2.6</v>
      </c>
      <c r="O12" s="284">
        <f>VLOOKUP($H$4,'RIO - E5'!$A$17:$AB$52,11)</f>
        <v>2.4</v>
      </c>
      <c r="P12" s="288">
        <f t="shared" si="3"/>
        <v>1.0833333333333335</v>
      </c>
      <c r="Q12" s="287"/>
      <c r="R12" s="280" t="s">
        <v>124</v>
      </c>
      <c r="S12" s="283">
        <f t="shared" si="4"/>
        <v>0.55000000000000004</v>
      </c>
      <c r="T12" s="283">
        <f t="shared" si="5"/>
        <v>0.48</v>
      </c>
      <c r="U12" s="283"/>
      <c r="V12" s="283">
        <f t="shared" si="6"/>
        <v>0.6</v>
      </c>
      <c r="W12" s="279" t="str">
        <f>VLOOKUP($H$4,'RIO - E5'!$A$17:$AB$52,10)</f>
        <v>C</v>
      </c>
      <c r="X12" s="284">
        <f>VLOOKUP($H$4,'NW - E5'!$B$6:$N$41,4)</f>
        <v>2.2000000000000002</v>
      </c>
      <c r="Y12" s="284">
        <f>VLOOKUP($H$4,'RIO - E5'!$A$17:$AB$52,11)</f>
        <v>2.4</v>
      </c>
      <c r="Z12" s="288">
        <f t="shared" si="7"/>
        <v>0.91666666666666674</v>
      </c>
      <c r="AA12" s="295"/>
      <c r="AB12" s="290"/>
      <c r="AC12" s="36"/>
      <c r="AD12" s="36"/>
      <c r="AE12" s="36"/>
      <c r="AF12" s="36"/>
      <c r="AG12" s="36"/>
    </row>
    <row r="13" spans="1:33" ht="12.75" customHeight="1" x14ac:dyDescent="0.2">
      <c r="A13" s="262">
        <f>BEGINBLAD!A14</f>
        <v>9</v>
      </c>
      <c r="B13" s="264">
        <f>BEGINBLAD!B14</f>
        <v>0</v>
      </c>
      <c r="H13" s="36"/>
      <c r="I13" s="280" t="s">
        <v>123</v>
      </c>
      <c r="J13" s="283">
        <f t="shared" si="0"/>
        <v>0.5625</v>
      </c>
      <c r="K13" s="283">
        <f t="shared" si="1"/>
        <v>0.48</v>
      </c>
      <c r="L13" s="283">
        <f t="shared" si="2"/>
        <v>0.6</v>
      </c>
      <c r="M13" s="279" t="str">
        <f>VLOOKUP($H$4,'RIO - M6'!$A$17:$AB$52,10)</f>
        <v>C</v>
      </c>
      <c r="N13" s="284">
        <f>VLOOKUP($H$4,'NW - M6'!$B$6:$N$41,12)</f>
        <v>2.25</v>
      </c>
      <c r="O13" s="284">
        <f>VLOOKUP($H$4,'RIO - M6'!$A$17:$AB$52,11)</f>
        <v>2.4</v>
      </c>
      <c r="P13" s="288">
        <f t="shared" si="3"/>
        <v>0.9375</v>
      </c>
      <c r="Q13" s="287"/>
      <c r="R13" s="280" t="s">
        <v>123</v>
      </c>
      <c r="S13" s="283">
        <f t="shared" si="4"/>
        <v>0.65</v>
      </c>
      <c r="T13" s="283">
        <f t="shared" si="5"/>
        <v>0.48</v>
      </c>
      <c r="U13" s="283"/>
      <c r="V13" s="283">
        <f t="shared" si="6"/>
        <v>0.6</v>
      </c>
      <c r="W13" s="279" t="str">
        <f>VLOOKUP($H$4,'RIO - M6'!$A$17:$AB$52,10)</f>
        <v>C</v>
      </c>
      <c r="X13" s="284">
        <f>VLOOKUP($H$4,'NW - M6'!$B$6:$N$41,4)</f>
        <v>2.6</v>
      </c>
      <c r="Y13" s="284">
        <f>VLOOKUP($H$4,'RIO - M6'!$A$17:$AB$52,11)</f>
        <v>2.4</v>
      </c>
      <c r="Z13" s="288">
        <f t="shared" si="7"/>
        <v>1.0833333333333335</v>
      </c>
      <c r="AA13" s="294"/>
      <c r="AB13" s="289"/>
      <c r="AC13" s="36"/>
      <c r="AD13" s="36"/>
      <c r="AE13" s="36"/>
      <c r="AF13" s="36"/>
      <c r="AG13" s="36"/>
    </row>
    <row r="14" spans="1:33" ht="12.75" customHeight="1" x14ac:dyDescent="0.3">
      <c r="A14" s="262">
        <f>BEGINBLAD!A15</f>
        <v>10</v>
      </c>
      <c r="B14" s="264">
        <f>BEGINBLAD!B15</f>
        <v>0</v>
      </c>
      <c r="D14" s="2"/>
      <c r="H14" s="36"/>
      <c r="I14" s="280" t="s">
        <v>122</v>
      </c>
      <c r="J14" s="283" t="e">
        <f t="shared" si="0"/>
        <v>#VALUE!</v>
      </c>
      <c r="K14" s="283">
        <f t="shared" si="1"/>
        <v>0.48</v>
      </c>
      <c r="L14" s="283">
        <f t="shared" si="2"/>
        <v>0.6</v>
      </c>
      <c r="M14" s="279" t="str">
        <f>VLOOKUP($H$4,'RIO - E6'!$A$17:$AB$52,10)</f>
        <v>C</v>
      </c>
      <c r="N14" s="284" t="str">
        <f>VLOOKUP($H$4,'NW - E6'!$B$6:$N$41,12)</f>
        <v/>
      </c>
      <c r="O14" s="284">
        <f>VLOOKUP($H$4,'RIO - E6'!$A$17:$AB$52,11)</f>
        <v>2.4</v>
      </c>
      <c r="P14" s="288" t="e">
        <f t="shared" si="3"/>
        <v>#VALUE!</v>
      </c>
      <c r="Q14" s="287"/>
      <c r="R14" s="280" t="s">
        <v>122</v>
      </c>
      <c r="S14" s="283">
        <f t="shared" si="4"/>
        <v>0</v>
      </c>
      <c r="T14" s="283">
        <f t="shared" si="5"/>
        <v>0.48</v>
      </c>
      <c r="U14" s="283"/>
      <c r="V14" s="283">
        <f t="shared" si="6"/>
        <v>0.6</v>
      </c>
      <c r="W14" s="279" t="str">
        <f>VLOOKUP($H$4,'RIO - E6'!$A$17:$AB$52,10)</f>
        <v>C</v>
      </c>
      <c r="X14" s="284">
        <f>VLOOKUP($H$4,'NW - E6'!$B$6:$N$41,4)</f>
        <v>0</v>
      </c>
      <c r="Y14" s="284">
        <f>VLOOKUP($H$4,'RIO - E6'!$A$17:$AB$52,11)</f>
        <v>2.4</v>
      </c>
      <c r="Z14" s="288">
        <f t="shared" si="7"/>
        <v>0</v>
      </c>
      <c r="AA14" s="295"/>
      <c r="AB14" s="290"/>
      <c r="AC14" s="36"/>
      <c r="AD14" s="36"/>
      <c r="AE14" s="36"/>
      <c r="AF14" s="36"/>
      <c r="AG14" s="36"/>
    </row>
    <row r="15" spans="1:33" ht="12.75" customHeight="1" x14ac:dyDescent="0.2">
      <c r="A15" s="262">
        <f>BEGINBLAD!A16</f>
        <v>11</v>
      </c>
      <c r="B15" s="264">
        <f>BEGINBLAD!B16</f>
        <v>0</v>
      </c>
      <c r="H15" s="36"/>
      <c r="I15" s="280" t="s">
        <v>119</v>
      </c>
      <c r="J15" s="283" t="e">
        <f t="shared" si="0"/>
        <v>#VALUE!</v>
      </c>
      <c r="K15" s="283">
        <f t="shared" si="1"/>
        <v>0.48</v>
      </c>
      <c r="L15" s="283">
        <f t="shared" si="2"/>
        <v>0.6</v>
      </c>
      <c r="M15" s="279" t="str">
        <f>VLOOKUP($H$4,'RIO - M7'!$A$17:$AB$52,10)</f>
        <v>C</v>
      </c>
      <c r="N15" s="284" t="str">
        <f>VLOOKUP($H$4,'NW - M7'!$B$6:$N$41,12)</f>
        <v/>
      </c>
      <c r="O15" s="284">
        <f>VLOOKUP($H$4,'RIO - M7'!$A$17:$AB$52,11)</f>
        <v>2.4</v>
      </c>
      <c r="P15" s="288" t="e">
        <f t="shared" si="3"/>
        <v>#VALUE!</v>
      </c>
      <c r="Q15" s="287"/>
      <c r="R15" s="280" t="s">
        <v>119</v>
      </c>
      <c r="S15" s="283">
        <f t="shared" si="4"/>
        <v>0</v>
      </c>
      <c r="T15" s="283">
        <f t="shared" si="5"/>
        <v>0.48</v>
      </c>
      <c r="U15" s="283"/>
      <c r="V15" s="283">
        <f t="shared" si="6"/>
        <v>0.6</v>
      </c>
      <c r="W15" s="279" t="str">
        <f>VLOOKUP($H$4,'RIO - M7'!$A$17:$AB$52,10)</f>
        <v>C</v>
      </c>
      <c r="X15" s="284">
        <f>VLOOKUP($H$4,'NW - M7'!$B$6:$N$41,4)</f>
        <v>0</v>
      </c>
      <c r="Y15" s="284">
        <f>VLOOKUP($H$4,'RIO - M7'!$A$17:$AB$52,11)</f>
        <v>2.4</v>
      </c>
      <c r="Z15" s="288">
        <f t="shared" si="7"/>
        <v>0</v>
      </c>
      <c r="AA15" s="294"/>
      <c r="AB15" s="289"/>
      <c r="AC15" s="36"/>
      <c r="AD15" s="36"/>
      <c r="AE15" s="36"/>
      <c r="AF15" s="36"/>
      <c r="AG15" s="36"/>
    </row>
    <row r="16" spans="1:33" ht="12.75" customHeight="1" x14ac:dyDescent="0.3">
      <c r="A16" s="262">
        <f>BEGINBLAD!A17</f>
        <v>12</v>
      </c>
      <c r="B16" s="264">
        <f>BEGINBLAD!B17</f>
        <v>0</v>
      </c>
      <c r="H16" s="36"/>
      <c r="I16" s="286" t="s">
        <v>118</v>
      </c>
      <c r="J16" s="283" t="e">
        <f t="shared" si="0"/>
        <v>#VALUE!</v>
      </c>
      <c r="K16" s="283">
        <f t="shared" si="1"/>
        <v>0.48</v>
      </c>
      <c r="L16" s="283">
        <f t="shared" si="2"/>
        <v>0.6</v>
      </c>
      <c r="M16" s="279" t="str">
        <f>VLOOKUP($H$4,'RIO - E7'!$A$17:$AB$52,10)</f>
        <v>C</v>
      </c>
      <c r="N16" s="284" t="str">
        <f>VLOOKUP($H$4,'NW - E7'!$B$6:$N$41,12)</f>
        <v/>
      </c>
      <c r="O16" s="284">
        <f>VLOOKUP($H$4,'RIO - E7'!$A$17:$AB$52,11)</f>
        <v>2.4</v>
      </c>
      <c r="P16" s="288" t="e">
        <f t="shared" si="3"/>
        <v>#VALUE!</v>
      </c>
      <c r="Q16" s="287"/>
      <c r="R16" s="286" t="s">
        <v>118</v>
      </c>
      <c r="S16" s="283">
        <f t="shared" si="4"/>
        <v>0</v>
      </c>
      <c r="T16" s="283">
        <f t="shared" si="5"/>
        <v>0.48</v>
      </c>
      <c r="U16" s="283"/>
      <c r="V16" s="283">
        <f t="shared" si="6"/>
        <v>0.6</v>
      </c>
      <c r="W16" s="279" t="str">
        <f>VLOOKUP($H$4,'RIO - E7'!$A$17:$AB$52,10)</f>
        <v>C</v>
      </c>
      <c r="X16" s="284">
        <f>VLOOKUP($H$4,'NW - E7'!$B$6:$N$41,4)</f>
        <v>0</v>
      </c>
      <c r="Y16" s="284">
        <f>VLOOKUP($H$4,'RIO - E7'!$A$17:$AB$52,11)</f>
        <v>2.4</v>
      </c>
      <c r="Z16" s="288">
        <f t="shared" si="7"/>
        <v>0</v>
      </c>
      <c r="AA16" s="295"/>
      <c r="AB16" s="290"/>
      <c r="AC16" s="36"/>
      <c r="AD16" s="36"/>
      <c r="AE16" s="36"/>
      <c r="AF16" s="36"/>
      <c r="AG16" s="36"/>
    </row>
    <row r="17" spans="1:33" ht="12.75" customHeight="1" x14ac:dyDescent="0.2">
      <c r="A17" s="262">
        <f>BEGINBLAD!A18</f>
        <v>13</v>
      </c>
      <c r="B17" s="264">
        <f>BEGINBLAD!B18</f>
        <v>0</v>
      </c>
      <c r="H17" s="36"/>
      <c r="I17" s="280" t="s">
        <v>117</v>
      </c>
      <c r="J17" s="283" t="e">
        <f t="shared" si="0"/>
        <v>#VALUE!</v>
      </c>
      <c r="K17" s="283">
        <f t="shared" si="1"/>
        <v>0.48</v>
      </c>
      <c r="L17" s="283">
        <f t="shared" si="2"/>
        <v>0.6</v>
      </c>
      <c r="M17" s="279" t="str">
        <f>VLOOKUP($H$4,'RIO - M8'!$A$17:$AB$52,10)</f>
        <v>C</v>
      </c>
      <c r="N17" s="284" t="str">
        <f>VLOOKUP($H$4,'NW - M8'!$B$6:$N$41,12)</f>
        <v/>
      </c>
      <c r="O17" s="284">
        <f>VLOOKUP($H$4,'RIO - M8'!$A$17:$AB$52,11)</f>
        <v>2.4</v>
      </c>
      <c r="P17" s="288" t="e">
        <f t="shared" si="3"/>
        <v>#VALUE!</v>
      </c>
      <c r="Q17" s="287"/>
      <c r="R17" s="280" t="s">
        <v>117</v>
      </c>
      <c r="S17" s="283">
        <f t="shared" si="4"/>
        <v>0</v>
      </c>
      <c r="T17" s="283">
        <f t="shared" si="5"/>
        <v>0.48</v>
      </c>
      <c r="U17" s="283"/>
      <c r="V17" s="283">
        <f t="shared" si="6"/>
        <v>0.6</v>
      </c>
      <c r="W17" s="279" t="str">
        <f>VLOOKUP($H$4,'RIO - M8'!$A$17:$AB$52,10)</f>
        <v>C</v>
      </c>
      <c r="X17" s="284">
        <f>VLOOKUP($H$4,'NW - M8'!$B$6:$N$41,4)</f>
        <v>0</v>
      </c>
      <c r="Y17" s="284">
        <f>VLOOKUP($H$4,'RIO - M8'!$A$17:$AB$52,11)</f>
        <v>2.4</v>
      </c>
      <c r="Z17" s="288">
        <f t="shared" si="7"/>
        <v>0</v>
      </c>
      <c r="AA17" s="294"/>
      <c r="AB17" s="289"/>
      <c r="AC17" s="36"/>
      <c r="AD17" s="36"/>
      <c r="AE17" s="36"/>
      <c r="AF17" s="36"/>
      <c r="AG17" s="36"/>
    </row>
    <row r="18" spans="1:33" ht="12.75" customHeight="1" x14ac:dyDescent="0.4">
      <c r="A18" s="262">
        <f>BEGINBLAD!A19</f>
        <v>14</v>
      </c>
      <c r="B18" s="264">
        <f>BEGINBLAD!B19</f>
        <v>0</v>
      </c>
      <c r="H18" s="36"/>
      <c r="I18" s="287"/>
      <c r="J18" s="285"/>
      <c r="K18" s="286"/>
      <c r="L18" s="281"/>
      <c r="M18" s="281"/>
      <c r="N18" s="282"/>
      <c r="O18" s="287"/>
      <c r="P18" s="287"/>
      <c r="Q18" s="287"/>
      <c r="R18" s="287"/>
      <c r="S18" s="287"/>
      <c r="T18" s="287"/>
      <c r="U18" s="287"/>
      <c r="V18" s="287"/>
      <c r="W18" s="287"/>
      <c r="X18" s="279"/>
      <c r="Y18" s="280"/>
      <c r="Z18" s="280"/>
      <c r="AA18" s="295"/>
      <c r="AB18" s="290"/>
      <c r="AC18" s="36"/>
      <c r="AD18" s="36"/>
      <c r="AE18" s="36"/>
      <c r="AF18" s="36"/>
      <c r="AG18" s="36"/>
    </row>
    <row r="19" spans="1:33" ht="12.75" customHeight="1" x14ac:dyDescent="0.3">
      <c r="A19" s="262">
        <f>BEGINBLAD!A20</f>
        <v>15</v>
      </c>
      <c r="B19" s="264">
        <f>BEGINBLAD!B20</f>
        <v>0</v>
      </c>
      <c r="H19" s="36"/>
      <c r="I19" s="362" t="s">
        <v>135</v>
      </c>
      <c r="J19" s="362"/>
      <c r="K19" s="362"/>
      <c r="L19" s="362"/>
      <c r="M19" s="281"/>
      <c r="N19" s="282"/>
      <c r="O19" s="287"/>
      <c r="P19" s="287"/>
      <c r="Q19" s="287"/>
      <c r="R19" s="362" t="s">
        <v>138</v>
      </c>
      <c r="S19" s="362"/>
      <c r="T19" s="362"/>
      <c r="U19" s="362"/>
      <c r="V19" s="362"/>
      <c r="W19" s="281"/>
      <c r="X19" s="282"/>
      <c r="Y19" s="287"/>
      <c r="Z19" s="287"/>
      <c r="AA19" s="294"/>
      <c r="AB19" s="289"/>
      <c r="AC19" s="36"/>
      <c r="AD19" s="36"/>
      <c r="AE19" s="36"/>
      <c r="AF19" s="36"/>
      <c r="AG19" s="36"/>
    </row>
    <row r="20" spans="1:33" ht="12.75" customHeight="1" x14ac:dyDescent="0.2">
      <c r="A20" s="262">
        <f>BEGINBLAD!A21</f>
        <v>16</v>
      </c>
      <c r="B20" s="264">
        <f>BEGINBLAD!B21</f>
        <v>0</v>
      </c>
      <c r="H20" s="36"/>
      <c r="I20" s="280" t="s">
        <v>128</v>
      </c>
      <c r="J20" s="280" t="s">
        <v>129</v>
      </c>
      <c r="K20" s="280" t="s">
        <v>114</v>
      </c>
      <c r="L20" s="280" t="s">
        <v>101</v>
      </c>
      <c r="M20" s="280" t="s">
        <v>88</v>
      </c>
      <c r="N20" s="280" t="s">
        <v>132</v>
      </c>
      <c r="O20" s="280" t="s">
        <v>131</v>
      </c>
      <c r="P20" s="280" t="s">
        <v>133</v>
      </c>
      <c r="Q20" s="287"/>
      <c r="R20" s="280" t="s">
        <v>128</v>
      </c>
      <c r="S20" s="280" t="s">
        <v>129</v>
      </c>
      <c r="T20" s="280" t="s">
        <v>114</v>
      </c>
      <c r="U20" s="280"/>
      <c r="V20" s="280" t="s">
        <v>101</v>
      </c>
      <c r="W20" s="280" t="s">
        <v>88</v>
      </c>
      <c r="X20" s="280" t="s">
        <v>132</v>
      </c>
      <c r="Y20" s="280" t="s">
        <v>131</v>
      </c>
      <c r="Z20" s="280" t="s">
        <v>133</v>
      </c>
      <c r="AA20" s="295"/>
      <c r="AB20" s="290"/>
      <c r="AC20" s="36"/>
      <c r="AD20" s="36"/>
      <c r="AE20" s="36"/>
      <c r="AF20" s="36"/>
      <c r="AG20" s="36"/>
    </row>
    <row r="21" spans="1:33" ht="12.75" customHeight="1" x14ac:dyDescent="0.2">
      <c r="A21" s="262">
        <f>BEGINBLAD!A22</f>
        <v>17</v>
      </c>
      <c r="B21" s="264">
        <f>BEGINBLAD!B22</f>
        <v>0</v>
      </c>
      <c r="H21" s="36"/>
      <c r="I21" s="280" t="s">
        <v>127</v>
      </c>
      <c r="J21" s="283">
        <f t="shared" ref="J21:J29" si="8">P21*L21</f>
        <v>0.625</v>
      </c>
      <c r="K21" s="283">
        <f t="shared" ref="K21:K29" si="9">0.8*L21</f>
        <v>0.64000000000000012</v>
      </c>
      <c r="L21" s="283">
        <f t="shared" ref="L21:L29" si="10">IF(M21="A",1,IF(M21="B",0.8,IF(M21="C",0.6,IF(M21="D",0.4,IF(M21="E",0.2)))))</f>
        <v>0.8</v>
      </c>
      <c r="M21" s="279" t="str">
        <f>VLOOKUP($H$4,'RIO - M4'!$A$17:$AB$52,10)</f>
        <v>B</v>
      </c>
      <c r="N21" s="284">
        <f>VLOOKUP($H$4,'NW - M4'!$B$6:$N$41,3)</f>
        <v>2.5</v>
      </c>
      <c r="O21" s="284">
        <f>VLOOKUP($H$4,'RIO - M4'!$A$17:$AB$52,11)</f>
        <v>3.2</v>
      </c>
      <c r="P21" s="288">
        <f t="shared" ref="P21:P29" si="11">(N21/O21)</f>
        <v>0.78125</v>
      </c>
      <c r="Q21" s="287"/>
      <c r="R21" s="280" t="s">
        <v>127</v>
      </c>
      <c r="S21" s="283">
        <f t="shared" ref="S21:S29" si="12">Z21*V21</f>
        <v>0.875</v>
      </c>
      <c r="T21" s="283">
        <f t="shared" ref="T21:T29" si="13">0.8*V21</f>
        <v>0.64000000000000012</v>
      </c>
      <c r="U21" s="283"/>
      <c r="V21" s="283">
        <f t="shared" ref="V21:V29" si="14">IF(W21="A",1,IF(W21="B",0.8,IF(W21="C",0.6,IF(W21="D",0.4,IF(W21="E",0.2)))))</f>
        <v>0.8</v>
      </c>
      <c r="W21" s="279" t="str">
        <f>VLOOKUP($H$4,'RIO - M4'!$A$17:$AB$52,10)</f>
        <v>B</v>
      </c>
      <c r="X21" s="284">
        <f>VLOOKUP($H$4,'NW - M4'!$B$6:$N$41,8)</f>
        <v>3.5</v>
      </c>
      <c r="Y21" s="284">
        <f>VLOOKUP($H$4,'RIO - M4'!$A$17:$AB$52,11)</f>
        <v>3.2</v>
      </c>
      <c r="Z21" s="288">
        <f t="shared" ref="Z21:Z29" si="15">(X21/Y21)</f>
        <v>1.09375</v>
      </c>
      <c r="AA21" s="294"/>
      <c r="AB21" s="289"/>
      <c r="AC21" s="36"/>
      <c r="AD21" s="36"/>
      <c r="AE21" s="36"/>
      <c r="AF21" s="36"/>
      <c r="AG21" s="36"/>
    </row>
    <row r="22" spans="1:33" ht="12.75" customHeight="1" x14ac:dyDescent="0.2">
      <c r="A22" s="262">
        <f>BEGINBLAD!A23</f>
        <v>18</v>
      </c>
      <c r="B22" s="264">
        <f>BEGINBLAD!B23</f>
        <v>0</v>
      </c>
      <c r="H22" s="36"/>
      <c r="I22" s="280" t="s">
        <v>126</v>
      </c>
      <c r="J22" s="283">
        <f t="shared" si="8"/>
        <v>0.57499999999999996</v>
      </c>
      <c r="K22" s="283">
        <f t="shared" si="9"/>
        <v>0.64000000000000012</v>
      </c>
      <c r="L22" s="283">
        <f t="shared" si="10"/>
        <v>0.8</v>
      </c>
      <c r="M22" s="279" t="str">
        <f>VLOOKUP($H$4,'RIO - E4'!$A$17:$AB$52,10)</f>
        <v>B</v>
      </c>
      <c r="N22" s="284">
        <f>VLOOKUP($H$4,'NW - E4'!$B$6:$N$41,3)</f>
        <v>2.2999999999999998</v>
      </c>
      <c r="O22" s="284">
        <f>VLOOKUP($H$4,'RIO - E4'!$A$17:$AB$52,11)</f>
        <v>3.2</v>
      </c>
      <c r="P22" s="288">
        <f t="shared" si="11"/>
        <v>0.71874999999999989</v>
      </c>
      <c r="Q22" s="287"/>
      <c r="R22" s="280" t="s">
        <v>126</v>
      </c>
      <c r="S22" s="283">
        <f t="shared" si="12"/>
        <v>0.75</v>
      </c>
      <c r="T22" s="283">
        <f t="shared" si="13"/>
        <v>0.64000000000000012</v>
      </c>
      <c r="U22" s="283"/>
      <c r="V22" s="283">
        <f t="shared" si="14"/>
        <v>0.8</v>
      </c>
      <c r="W22" s="279" t="str">
        <f>VLOOKUP($H$4,'RIO - E4'!$A$17:$AB$52,10)</f>
        <v>B</v>
      </c>
      <c r="X22" s="284">
        <f>VLOOKUP($H$4,'NW - E4'!$B$6:$N$41,8)</f>
        <v>3</v>
      </c>
      <c r="Y22" s="284">
        <f>VLOOKUP($H$4,'RIO - E4'!$A$17:$AB$52,11)</f>
        <v>3.2</v>
      </c>
      <c r="Z22" s="288">
        <f t="shared" si="15"/>
        <v>0.9375</v>
      </c>
      <c r="AA22" s="295"/>
      <c r="AB22" s="290"/>
      <c r="AC22" s="36"/>
      <c r="AD22" s="36"/>
      <c r="AE22" s="36"/>
      <c r="AF22" s="36"/>
      <c r="AG22" s="36"/>
    </row>
    <row r="23" spans="1:33" ht="12.75" customHeight="1" x14ac:dyDescent="0.2">
      <c r="A23" s="262">
        <f>BEGINBLAD!A24</f>
        <v>19</v>
      </c>
      <c r="B23" s="264">
        <f>BEGINBLAD!B24</f>
        <v>0</v>
      </c>
      <c r="H23" s="36"/>
      <c r="I23" s="280" t="s">
        <v>125</v>
      </c>
      <c r="J23" s="283">
        <f t="shared" si="8"/>
        <v>0.625</v>
      </c>
      <c r="K23" s="283">
        <f t="shared" si="9"/>
        <v>0.48</v>
      </c>
      <c r="L23" s="283">
        <f t="shared" si="10"/>
        <v>0.6</v>
      </c>
      <c r="M23" s="279" t="str">
        <f>VLOOKUP($H$4,'RIO - M5'!$A$17:$AB$52,10)</f>
        <v>C</v>
      </c>
      <c r="N23" s="284">
        <f>VLOOKUP($H$4,'NW - M5'!$B$6:$N$41,3)</f>
        <v>2.5</v>
      </c>
      <c r="O23" s="284">
        <f>VLOOKUP($H$4,'RIO - M5'!$A$17:$AB$52,11)</f>
        <v>2.4</v>
      </c>
      <c r="P23" s="288">
        <f t="shared" si="11"/>
        <v>1.0416666666666667</v>
      </c>
      <c r="Q23" s="287"/>
      <c r="R23" s="280" t="s">
        <v>125</v>
      </c>
      <c r="S23" s="283">
        <f t="shared" si="12"/>
        <v>0.65</v>
      </c>
      <c r="T23" s="283">
        <f t="shared" si="13"/>
        <v>0.48</v>
      </c>
      <c r="U23" s="283"/>
      <c r="V23" s="283">
        <f t="shared" si="14"/>
        <v>0.6</v>
      </c>
      <c r="W23" s="279" t="str">
        <f>VLOOKUP($H$4,'RIO - M5'!$A$17:$AB$52,10)</f>
        <v>C</v>
      </c>
      <c r="X23" s="284">
        <f>VLOOKUP($H$4,'NW - M5'!$B$6:$N$41,8)</f>
        <v>2.6</v>
      </c>
      <c r="Y23" s="284">
        <f>VLOOKUP($H$4,'RIO - M5'!$A$17:$AB$52,11)</f>
        <v>2.4</v>
      </c>
      <c r="Z23" s="288">
        <f t="shared" si="15"/>
        <v>1.0833333333333335</v>
      </c>
      <c r="AA23" s="5"/>
      <c r="AB23" s="36"/>
      <c r="AC23" s="36"/>
      <c r="AD23" s="36"/>
      <c r="AE23" s="36"/>
      <c r="AF23" s="36"/>
      <c r="AG23" s="36"/>
    </row>
    <row r="24" spans="1:33" ht="12.75" customHeight="1" x14ac:dyDescent="0.2">
      <c r="A24" s="262">
        <f>BEGINBLAD!A25</f>
        <v>20</v>
      </c>
      <c r="B24" s="264">
        <f>BEGINBLAD!B25</f>
        <v>0</v>
      </c>
      <c r="H24" s="36"/>
      <c r="I24" s="280" t="s">
        <v>124</v>
      </c>
      <c r="J24" s="283">
        <f t="shared" si="8"/>
        <v>0.625</v>
      </c>
      <c r="K24" s="283">
        <f t="shared" si="9"/>
        <v>0.48</v>
      </c>
      <c r="L24" s="283">
        <f t="shared" si="10"/>
        <v>0.6</v>
      </c>
      <c r="M24" s="279" t="str">
        <f>VLOOKUP($H$4,'RIO - E5'!$A$17:$AB$52,10)</f>
        <v>C</v>
      </c>
      <c r="N24" s="284">
        <f>VLOOKUP($H$4,'NW - E5'!$B$6:$N$41,3)</f>
        <v>2.5</v>
      </c>
      <c r="O24" s="284">
        <f>VLOOKUP($H$4,'RIO - E5'!$A$17:$AB$52,11)</f>
        <v>2.4</v>
      </c>
      <c r="P24" s="288">
        <f t="shared" si="11"/>
        <v>1.0416666666666667</v>
      </c>
      <c r="Q24" s="287"/>
      <c r="R24" s="280" t="s">
        <v>124</v>
      </c>
      <c r="S24" s="283">
        <f t="shared" si="12"/>
        <v>0.85</v>
      </c>
      <c r="T24" s="283">
        <f t="shared" si="13"/>
        <v>0.48</v>
      </c>
      <c r="U24" s="283"/>
      <c r="V24" s="283">
        <f t="shared" si="14"/>
        <v>0.6</v>
      </c>
      <c r="W24" s="279" t="str">
        <f>VLOOKUP($H$4,'RIO - E5'!$A$17:$AB$52,10)</f>
        <v>C</v>
      </c>
      <c r="X24" s="284">
        <f>VLOOKUP($H$4,'NW - E5'!$B$6:$N$41,8)</f>
        <v>3.4</v>
      </c>
      <c r="Y24" s="284">
        <f>VLOOKUP($H$4,'RIO - E5'!$A$17:$AB$52,11)</f>
        <v>2.4</v>
      </c>
      <c r="Z24" s="288">
        <f t="shared" si="15"/>
        <v>1.4166666666666667</v>
      </c>
      <c r="AA24" s="5"/>
      <c r="AB24" s="36"/>
      <c r="AC24" s="36"/>
      <c r="AD24" s="36"/>
      <c r="AE24" s="36"/>
      <c r="AF24" s="36"/>
      <c r="AG24" s="36"/>
    </row>
    <row r="25" spans="1:33" ht="12.75" customHeight="1" x14ac:dyDescent="0.2">
      <c r="A25" s="262">
        <f>BEGINBLAD!A26</f>
        <v>21</v>
      </c>
      <c r="B25" s="264">
        <f>BEGINBLAD!B26</f>
        <v>0</v>
      </c>
      <c r="H25" s="36"/>
      <c r="I25" s="280" t="s">
        <v>123</v>
      </c>
      <c r="J25" s="283">
        <f t="shared" si="8"/>
        <v>0.72499999999999998</v>
      </c>
      <c r="K25" s="283">
        <f t="shared" si="9"/>
        <v>0.48</v>
      </c>
      <c r="L25" s="283">
        <f t="shared" si="10"/>
        <v>0.6</v>
      </c>
      <c r="M25" s="279" t="str">
        <f>VLOOKUP($H$4,'RIO - M6'!$A$17:$AB$52,10)</f>
        <v>C</v>
      </c>
      <c r="N25" s="284">
        <f>VLOOKUP($H$4,'NW - M6'!$B$6:$N$41,3)</f>
        <v>2.9</v>
      </c>
      <c r="O25" s="284">
        <f>VLOOKUP($H$4,'RIO - M6'!$A$17:$AB$52,11)</f>
        <v>2.4</v>
      </c>
      <c r="P25" s="288">
        <f t="shared" si="11"/>
        <v>1.2083333333333333</v>
      </c>
      <c r="Q25" s="287"/>
      <c r="R25" s="280" t="s">
        <v>123</v>
      </c>
      <c r="S25" s="283">
        <f t="shared" si="12"/>
        <v>0.6</v>
      </c>
      <c r="T25" s="283">
        <f t="shared" si="13"/>
        <v>0.48</v>
      </c>
      <c r="U25" s="283"/>
      <c r="V25" s="283">
        <f t="shared" si="14"/>
        <v>0.6</v>
      </c>
      <c r="W25" s="279" t="str">
        <f>VLOOKUP($H$4,'RIO - M6'!$A$17:$AB$52,10)</f>
        <v>C</v>
      </c>
      <c r="X25" s="284">
        <f>VLOOKUP($H$4,'NW - M6'!$B$6:$N$41,8)</f>
        <v>2.4</v>
      </c>
      <c r="Y25" s="284">
        <f>VLOOKUP($H$4,'RIO - M6'!$A$17:$AB$52,11)</f>
        <v>2.4</v>
      </c>
      <c r="Z25" s="288">
        <f t="shared" si="15"/>
        <v>1</v>
      </c>
      <c r="AA25" s="5"/>
      <c r="AB25" s="36"/>
      <c r="AC25" s="36"/>
      <c r="AD25" s="36"/>
      <c r="AE25" s="36"/>
      <c r="AF25" s="36"/>
      <c r="AG25" s="36"/>
    </row>
    <row r="26" spans="1:33" ht="12.75" customHeight="1" x14ac:dyDescent="0.2">
      <c r="A26" s="262">
        <f>BEGINBLAD!A27</f>
        <v>22</v>
      </c>
      <c r="B26" s="264">
        <f>BEGINBLAD!B27</f>
        <v>0</v>
      </c>
      <c r="H26" s="36"/>
      <c r="I26" s="280" t="s">
        <v>122</v>
      </c>
      <c r="J26" s="283">
        <f t="shared" si="8"/>
        <v>0</v>
      </c>
      <c r="K26" s="283">
        <f t="shared" si="9"/>
        <v>0.48</v>
      </c>
      <c r="L26" s="283">
        <f t="shared" si="10"/>
        <v>0.6</v>
      </c>
      <c r="M26" s="279" t="str">
        <f>VLOOKUP($H$4,'RIO - E6'!$A$17:$AB$52,10)</f>
        <v>C</v>
      </c>
      <c r="N26" s="284">
        <f>VLOOKUP($H$4,'NW - E6'!$B$6:$N$41,3)</f>
        <v>0</v>
      </c>
      <c r="O26" s="284">
        <f>VLOOKUP($H$4,'RIO - E6'!$A$17:$AB$52,11)</f>
        <v>2.4</v>
      </c>
      <c r="P26" s="288">
        <f t="shared" si="11"/>
        <v>0</v>
      </c>
      <c r="Q26" s="287"/>
      <c r="R26" s="280" t="s">
        <v>122</v>
      </c>
      <c r="S26" s="283">
        <f t="shared" si="12"/>
        <v>0</v>
      </c>
      <c r="T26" s="283">
        <f t="shared" si="13"/>
        <v>0.48</v>
      </c>
      <c r="U26" s="283"/>
      <c r="V26" s="283">
        <f t="shared" si="14"/>
        <v>0.6</v>
      </c>
      <c r="W26" s="279" t="str">
        <f>VLOOKUP($H$4,'RIO - E6'!$A$17:$AB$52,10)</f>
        <v>C</v>
      </c>
      <c r="X26" s="284">
        <f>VLOOKUP($H$4,'NW - E6'!$B$6:$N$41,8)</f>
        <v>0</v>
      </c>
      <c r="Y26" s="284">
        <f>VLOOKUP($H$4,'RIO - E6'!$A$17:$AB$52,11)</f>
        <v>2.4</v>
      </c>
      <c r="Z26" s="288">
        <f t="shared" si="15"/>
        <v>0</v>
      </c>
      <c r="AA26" s="5"/>
      <c r="AB26" s="36"/>
      <c r="AC26" s="36"/>
      <c r="AD26" s="36"/>
      <c r="AE26" s="36"/>
      <c r="AF26" s="36"/>
      <c r="AG26" s="36"/>
    </row>
    <row r="27" spans="1:33" ht="12.75" customHeight="1" x14ac:dyDescent="0.2">
      <c r="A27" s="262">
        <f>BEGINBLAD!A28</f>
        <v>23</v>
      </c>
      <c r="B27" s="264">
        <f>BEGINBLAD!B28</f>
        <v>0</v>
      </c>
      <c r="H27" s="36"/>
      <c r="I27" s="280" t="s">
        <v>119</v>
      </c>
      <c r="J27" s="283">
        <f t="shared" si="8"/>
        <v>0</v>
      </c>
      <c r="K27" s="283">
        <f t="shared" si="9"/>
        <v>0.48</v>
      </c>
      <c r="L27" s="283">
        <f t="shared" si="10"/>
        <v>0.6</v>
      </c>
      <c r="M27" s="279" t="str">
        <f>VLOOKUP($H$4,'RIO - M7'!$A$17:$AB$52,10)</f>
        <v>C</v>
      </c>
      <c r="N27" s="284">
        <f>VLOOKUP($H$4,'NW - M7'!$B$6:$N$41,3)</f>
        <v>0</v>
      </c>
      <c r="O27" s="284">
        <f>VLOOKUP($H$4,'RIO - M7'!$A$17:$AB$52,11)</f>
        <v>2.4</v>
      </c>
      <c r="P27" s="288">
        <f t="shared" si="11"/>
        <v>0</v>
      </c>
      <c r="Q27" s="287"/>
      <c r="R27" s="280" t="s">
        <v>119</v>
      </c>
      <c r="S27" s="283">
        <f t="shared" si="12"/>
        <v>0</v>
      </c>
      <c r="T27" s="283">
        <f t="shared" si="13"/>
        <v>0.48</v>
      </c>
      <c r="U27" s="283"/>
      <c r="V27" s="283">
        <f t="shared" si="14"/>
        <v>0.6</v>
      </c>
      <c r="W27" s="279" t="str">
        <f>VLOOKUP($H$4,'RIO - M7'!$A$17:$AB$52,10)</f>
        <v>C</v>
      </c>
      <c r="X27" s="284">
        <f>VLOOKUP($H$4,'NW - M7'!$B$6:$N$41,8)</f>
        <v>0</v>
      </c>
      <c r="Y27" s="284">
        <f>VLOOKUP($H$4,'RIO - M7'!$A$17:$AB$52,11)</f>
        <v>2.4</v>
      </c>
      <c r="Z27" s="288">
        <f t="shared" si="15"/>
        <v>0</v>
      </c>
      <c r="AA27" s="5"/>
      <c r="AB27" s="36"/>
      <c r="AC27" s="36"/>
      <c r="AD27" s="36"/>
      <c r="AE27" s="36"/>
      <c r="AF27" s="36"/>
      <c r="AG27" s="36"/>
    </row>
    <row r="28" spans="1:33" ht="12.75" customHeight="1" x14ac:dyDescent="0.3">
      <c r="A28" s="262">
        <f>BEGINBLAD!A29</f>
        <v>24</v>
      </c>
      <c r="B28" s="264">
        <f>BEGINBLAD!B29</f>
        <v>0</v>
      </c>
      <c r="H28" s="36"/>
      <c r="I28" s="286" t="s">
        <v>118</v>
      </c>
      <c r="J28" s="283">
        <f t="shared" si="8"/>
        <v>0</v>
      </c>
      <c r="K28" s="283">
        <f t="shared" si="9"/>
        <v>0.48</v>
      </c>
      <c r="L28" s="283">
        <f t="shared" si="10"/>
        <v>0.6</v>
      </c>
      <c r="M28" s="279" t="str">
        <f>VLOOKUP($H$4,'RIO - E7'!$A$17:$AB$52,10)</f>
        <v>C</v>
      </c>
      <c r="N28" s="284">
        <f>VLOOKUP($H$4,'NW - E7'!$B$6:$N$41,3)</f>
        <v>0</v>
      </c>
      <c r="O28" s="284">
        <f>VLOOKUP($H$4,'RIO - E7'!$A$17:$AB$52,11)</f>
        <v>2.4</v>
      </c>
      <c r="P28" s="288">
        <f t="shared" si="11"/>
        <v>0</v>
      </c>
      <c r="Q28" s="287"/>
      <c r="R28" s="286" t="s">
        <v>118</v>
      </c>
      <c r="S28" s="283">
        <f t="shared" si="12"/>
        <v>0</v>
      </c>
      <c r="T28" s="283">
        <f t="shared" si="13"/>
        <v>0.48</v>
      </c>
      <c r="U28" s="283"/>
      <c r="V28" s="283">
        <f t="shared" si="14"/>
        <v>0.6</v>
      </c>
      <c r="W28" s="279" t="str">
        <f>VLOOKUP($H$4,'RIO - E7'!$A$17:$AB$52,10)</f>
        <v>C</v>
      </c>
      <c r="X28" s="284">
        <f>VLOOKUP($H$4,'NW - E7'!$B$6:$N$41,8)</f>
        <v>0</v>
      </c>
      <c r="Y28" s="284">
        <f>VLOOKUP($H$4,'RIO - E7'!$A$17:$AB$52,11)</f>
        <v>2.4</v>
      </c>
      <c r="Z28" s="288">
        <f t="shared" si="15"/>
        <v>0</v>
      </c>
      <c r="AA28" s="5"/>
      <c r="AB28" s="36"/>
      <c r="AC28" s="36"/>
      <c r="AD28" s="36"/>
      <c r="AE28" s="36"/>
      <c r="AF28" s="36"/>
      <c r="AG28" s="36"/>
    </row>
    <row r="29" spans="1:33" ht="12.75" customHeight="1" x14ac:dyDescent="0.2">
      <c r="A29" s="262">
        <f>BEGINBLAD!A30</f>
        <v>25</v>
      </c>
      <c r="B29" s="264">
        <f>BEGINBLAD!B30</f>
        <v>0</v>
      </c>
      <c r="H29" s="36"/>
      <c r="I29" s="280" t="s">
        <v>117</v>
      </c>
      <c r="J29" s="283">
        <f t="shared" si="8"/>
        <v>0</v>
      </c>
      <c r="K29" s="283">
        <f t="shared" si="9"/>
        <v>0.48</v>
      </c>
      <c r="L29" s="283">
        <f t="shared" si="10"/>
        <v>0.6</v>
      </c>
      <c r="M29" s="279" t="str">
        <f>VLOOKUP($H$4,'RIO - M8'!$A$17:$AB$52,10)</f>
        <v>C</v>
      </c>
      <c r="N29" s="284">
        <f>VLOOKUP($H$4,'NW - M8'!$B$6:$N$41,3)</f>
        <v>0</v>
      </c>
      <c r="O29" s="284">
        <f>VLOOKUP($H$4,'RIO - M8'!$A$17:$AB$52,11)</f>
        <v>2.4</v>
      </c>
      <c r="P29" s="288">
        <f t="shared" si="11"/>
        <v>0</v>
      </c>
      <c r="Q29" s="287"/>
      <c r="R29" s="280" t="s">
        <v>117</v>
      </c>
      <c r="S29" s="283">
        <f t="shared" si="12"/>
        <v>0</v>
      </c>
      <c r="T29" s="283">
        <f t="shared" si="13"/>
        <v>0.48</v>
      </c>
      <c r="U29" s="283"/>
      <c r="V29" s="283">
        <f t="shared" si="14"/>
        <v>0.6</v>
      </c>
      <c r="W29" s="279" t="str">
        <f>VLOOKUP($H$4,'RIO - M8'!$A$17:$AB$52,10)</f>
        <v>C</v>
      </c>
      <c r="X29" s="284">
        <f>VLOOKUP($H$4,'NW - M8'!$B$6:$N$41,8)</f>
        <v>0</v>
      </c>
      <c r="Y29" s="284">
        <f>VLOOKUP($H$4,'RIO - M8'!$A$17:$AB$52,11)</f>
        <v>2.4</v>
      </c>
      <c r="Z29" s="288">
        <f t="shared" si="15"/>
        <v>0</v>
      </c>
      <c r="AA29" s="5"/>
      <c r="AB29" s="36"/>
      <c r="AC29" s="36"/>
      <c r="AD29" s="36"/>
      <c r="AE29" s="36"/>
      <c r="AF29" s="36"/>
      <c r="AG29" s="36"/>
    </row>
    <row r="30" spans="1:33" ht="12.75" customHeight="1" x14ac:dyDescent="0.2">
      <c r="A30" s="262">
        <f>BEGINBLAD!A31</f>
        <v>26</v>
      </c>
      <c r="B30" s="264">
        <f>BEGINBLAD!B31</f>
        <v>0</v>
      </c>
      <c r="H30" s="36"/>
      <c r="I30" s="287"/>
      <c r="J30" s="287"/>
      <c r="K30" s="287"/>
      <c r="L30" s="287"/>
      <c r="M30" s="287"/>
      <c r="N30" s="287"/>
      <c r="O30" s="287"/>
      <c r="P30" s="287"/>
      <c r="Q30" s="287"/>
      <c r="R30" s="287"/>
      <c r="S30" s="287"/>
      <c r="T30" s="287"/>
      <c r="U30" s="287"/>
      <c r="V30" s="287"/>
      <c r="W30" s="287"/>
      <c r="X30" s="280"/>
      <c r="Y30" s="280"/>
      <c r="Z30" s="280"/>
      <c r="AA30" s="5"/>
      <c r="AB30" s="36"/>
      <c r="AC30" s="36"/>
      <c r="AD30" s="36"/>
      <c r="AE30" s="36"/>
      <c r="AF30" s="36"/>
      <c r="AG30" s="36"/>
    </row>
    <row r="31" spans="1:33" ht="12.75" customHeight="1" x14ac:dyDescent="0.2">
      <c r="A31" s="262">
        <f>BEGINBLAD!A32</f>
        <v>27</v>
      </c>
      <c r="B31" s="264">
        <f>BEGINBLAD!B32</f>
        <v>0</v>
      </c>
      <c r="H31" s="32"/>
      <c r="I31" s="293"/>
      <c r="J31" s="293"/>
      <c r="K31" s="293"/>
      <c r="L31" s="293"/>
      <c r="M31" s="287"/>
      <c r="N31" s="287"/>
      <c r="O31" s="287"/>
      <c r="P31" s="287"/>
      <c r="Q31" s="287"/>
      <c r="R31" s="287"/>
      <c r="S31" s="287"/>
      <c r="T31" s="287"/>
      <c r="U31" s="287"/>
      <c r="V31" s="287"/>
      <c r="W31" s="287"/>
      <c r="X31" s="280"/>
      <c r="Y31" s="280"/>
      <c r="Z31" s="280"/>
      <c r="AA31" s="5"/>
      <c r="AB31" s="36"/>
      <c r="AC31" s="36"/>
      <c r="AD31" s="36"/>
      <c r="AE31" s="36"/>
      <c r="AF31" s="36"/>
      <c r="AG31" s="36"/>
    </row>
    <row r="32" spans="1:33" ht="15" x14ac:dyDescent="0.3">
      <c r="A32" s="262">
        <f>BEGINBLAD!A33</f>
        <v>28</v>
      </c>
      <c r="B32" s="264">
        <f>BEGINBLAD!B33</f>
        <v>0</v>
      </c>
      <c r="H32" s="32"/>
      <c r="I32" s="362" t="s">
        <v>140</v>
      </c>
      <c r="J32" s="362"/>
      <c r="K32" s="362"/>
      <c r="L32" s="362"/>
      <c r="M32" s="281"/>
      <c r="N32" s="282"/>
      <c r="O32" s="287"/>
      <c r="P32" s="287"/>
      <c r="Q32" s="287"/>
      <c r="R32" s="362" t="s">
        <v>139</v>
      </c>
      <c r="S32" s="362"/>
      <c r="T32" s="362"/>
      <c r="U32" s="362"/>
      <c r="V32" s="362"/>
      <c r="W32" s="281"/>
      <c r="X32" s="282"/>
      <c r="Y32" s="287"/>
      <c r="Z32" s="287"/>
      <c r="AA32" s="5"/>
      <c r="AB32" s="36"/>
      <c r="AC32" s="36"/>
      <c r="AD32" s="36"/>
      <c r="AE32" s="36"/>
      <c r="AF32" s="36"/>
      <c r="AG32" s="36"/>
    </row>
    <row r="33" spans="1:33" x14ac:dyDescent="0.2">
      <c r="A33" s="262">
        <f>BEGINBLAD!A34</f>
        <v>29</v>
      </c>
      <c r="B33" s="264">
        <f>BEGINBLAD!B34</f>
        <v>0</v>
      </c>
      <c r="H33" s="32"/>
      <c r="I33" s="280" t="s">
        <v>128</v>
      </c>
      <c r="J33" s="280" t="s">
        <v>129</v>
      </c>
      <c r="K33" s="280" t="s">
        <v>114</v>
      </c>
      <c r="L33" s="280" t="s">
        <v>101</v>
      </c>
      <c r="M33" s="280" t="s">
        <v>88</v>
      </c>
      <c r="N33" s="280" t="s">
        <v>132</v>
      </c>
      <c r="O33" s="280" t="s">
        <v>131</v>
      </c>
      <c r="P33" s="280" t="s">
        <v>133</v>
      </c>
      <c r="Q33" s="287"/>
      <c r="R33" s="280" t="s">
        <v>128</v>
      </c>
      <c r="S33" s="280" t="s">
        <v>129</v>
      </c>
      <c r="T33" s="280" t="s">
        <v>114</v>
      </c>
      <c r="U33" s="280"/>
      <c r="V33" s="280" t="s">
        <v>101</v>
      </c>
      <c r="W33" s="280" t="s">
        <v>88</v>
      </c>
      <c r="X33" s="280" t="s">
        <v>132</v>
      </c>
      <c r="Y33" s="280" t="s">
        <v>131</v>
      </c>
      <c r="Z33" s="280" t="s">
        <v>133</v>
      </c>
      <c r="AA33" s="5"/>
      <c r="AB33" s="36"/>
      <c r="AC33" s="36"/>
      <c r="AD33" s="36"/>
      <c r="AE33" s="36"/>
      <c r="AF33" s="36"/>
      <c r="AG33" s="36"/>
    </row>
    <row r="34" spans="1:33" x14ac:dyDescent="0.2">
      <c r="A34" s="262">
        <f>BEGINBLAD!A35</f>
        <v>30</v>
      </c>
      <c r="B34" s="264">
        <f>BEGINBLAD!B35</f>
        <v>0</v>
      </c>
      <c r="H34" s="32"/>
      <c r="I34" s="280" t="s">
        <v>127</v>
      </c>
      <c r="J34" s="283">
        <f t="shared" ref="J34:J42" si="16">P34*L34</f>
        <v>0.77500000000000002</v>
      </c>
      <c r="K34" s="283">
        <f t="shared" ref="K34:K42" si="17">0.8*L34</f>
        <v>0.64000000000000012</v>
      </c>
      <c r="L34" s="283">
        <f t="shared" ref="L34:L42" si="18">IF(M34="A",1,IF(M34="B",0.8,IF(M34="C",0.6,IF(M34="D",0.4,IF(M34="E",0.2)))))</f>
        <v>0.8</v>
      </c>
      <c r="M34" s="279" t="str">
        <f>VLOOKUP($H$4,'RIO - M4'!$A$17:$AB$52,10)</f>
        <v>B</v>
      </c>
      <c r="N34" s="284">
        <f>VLOOKUP($H$4,'NW - M4'!$B$6:$N$41,5)</f>
        <v>3.1</v>
      </c>
      <c r="O34" s="284">
        <f>VLOOKUP($H$4,'RIO - M4'!$A$17:$AB$52,11)</f>
        <v>3.2</v>
      </c>
      <c r="P34" s="288">
        <f t="shared" ref="P34:P42" si="19">(N34/O34)</f>
        <v>0.96875</v>
      </c>
      <c r="Q34" s="287"/>
      <c r="R34" s="280" t="s">
        <v>127</v>
      </c>
      <c r="S34" s="283">
        <f t="shared" ref="S34:S42" si="20">Z34*V34</f>
        <v>0.25</v>
      </c>
      <c r="T34" s="283">
        <f t="shared" ref="T34:T42" si="21">0.8*V34</f>
        <v>0.64000000000000012</v>
      </c>
      <c r="U34" s="283"/>
      <c r="V34" s="283">
        <f t="shared" ref="V34:V42" si="22">IF(W34="A",1,IF(W34="B",0.8,IF(W34="C",0.6,IF(W34="D",0.4,IF(W34="E",0.2)))))</f>
        <v>0.8</v>
      </c>
      <c r="W34" s="279" t="str">
        <f>VLOOKUP($H$4,'RIO - M4'!$A$17:$AB$52,10)</f>
        <v>B</v>
      </c>
      <c r="X34" s="284">
        <f>VLOOKUP($H$4,'NW - M4'!$B$6:$N$41,7)</f>
        <v>1</v>
      </c>
      <c r="Y34" s="284">
        <f>VLOOKUP($H$4,'RIO - M4'!$A$17:$AB$52,11)</f>
        <v>3.2</v>
      </c>
      <c r="Z34" s="288">
        <f t="shared" ref="Z34:Z42" si="23">(X34/Y34)</f>
        <v>0.3125</v>
      </c>
      <c r="AA34" s="5"/>
      <c r="AB34" s="36"/>
    </row>
    <row r="35" spans="1:33" ht="15" x14ac:dyDescent="0.3">
      <c r="A35" s="262">
        <f>BEGINBLAD!A36</f>
        <v>31</v>
      </c>
      <c r="B35" s="264">
        <f>BEGINBLAD!B36</f>
        <v>0</v>
      </c>
      <c r="H35" s="252"/>
      <c r="I35" s="280" t="s">
        <v>126</v>
      </c>
      <c r="J35" s="283">
        <f t="shared" si="16"/>
        <v>0.72499999999999998</v>
      </c>
      <c r="K35" s="283">
        <f t="shared" si="17"/>
        <v>0.64000000000000012</v>
      </c>
      <c r="L35" s="283">
        <f t="shared" si="18"/>
        <v>0.8</v>
      </c>
      <c r="M35" s="279" t="str">
        <f>VLOOKUP($H$4,'RIO - E4'!$A$17:$AB$52,10)</f>
        <v>B</v>
      </c>
      <c r="N35" s="284">
        <f>VLOOKUP($H$4,'NW - E4'!$B$6:$N$41,5)</f>
        <v>2.9</v>
      </c>
      <c r="O35" s="284">
        <f>VLOOKUP($H$4,'RIO - E4'!$A$17:$AB$52,11)</f>
        <v>3.2</v>
      </c>
      <c r="P35" s="288">
        <f t="shared" si="19"/>
        <v>0.90624999999999989</v>
      </c>
      <c r="Q35" s="287"/>
      <c r="R35" s="280" t="s">
        <v>126</v>
      </c>
      <c r="S35" s="283">
        <f t="shared" si="20"/>
        <v>0.77500000000000002</v>
      </c>
      <c r="T35" s="283">
        <f t="shared" si="21"/>
        <v>0.64000000000000012</v>
      </c>
      <c r="U35" s="283"/>
      <c r="V35" s="283">
        <f t="shared" si="22"/>
        <v>0.8</v>
      </c>
      <c r="W35" s="279" t="str">
        <f>VLOOKUP($H$4,'RIO - E4'!$A$17:$AB$52,10)</f>
        <v>B</v>
      </c>
      <c r="X35" s="284">
        <f>VLOOKUP($H$4,'NW - E4'!$B$6:$N$41,7)</f>
        <v>3.1</v>
      </c>
      <c r="Y35" s="284">
        <f>VLOOKUP($H$4,'RIO - E4'!$A$17:$AB$52,11)</f>
        <v>3.2</v>
      </c>
      <c r="Z35" s="288">
        <f t="shared" si="23"/>
        <v>0.96875</v>
      </c>
      <c r="AA35" s="5"/>
      <c r="AB35" s="36"/>
    </row>
    <row r="36" spans="1:33" x14ac:dyDescent="0.2">
      <c r="A36" s="262">
        <f>BEGINBLAD!A37</f>
        <v>32</v>
      </c>
      <c r="B36" s="264">
        <f>BEGINBLAD!B37</f>
        <v>0</v>
      </c>
      <c r="H36" s="253"/>
      <c r="I36" s="280" t="s">
        <v>125</v>
      </c>
      <c r="J36" s="283">
        <f t="shared" si="16"/>
        <v>0.8</v>
      </c>
      <c r="K36" s="283">
        <f t="shared" si="17"/>
        <v>0.48</v>
      </c>
      <c r="L36" s="283">
        <f t="shared" si="18"/>
        <v>0.6</v>
      </c>
      <c r="M36" s="279" t="str">
        <f>VLOOKUP($H$4,'RIO - M5'!$A$17:$AB$52,10)</f>
        <v>C</v>
      </c>
      <c r="N36" s="284">
        <f>VLOOKUP($H$4,'NW - M5'!$B$6:$N$41,5)</f>
        <v>3.2</v>
      </c>
      <c r="O36" s="284">
        <f>VLOOKUP($H$4,'RIO - M5'!$A$17:$AB$52,11)</f>
        <v>2.4</v>
      </c>
      <c r="P36" s="288">
        <f t="shared" si="19"/>
        <v>1.3333333333333335</v>
      </c>
      <c r="Q36" s="287"/>
      <c r="R36" s="280" t="s">
        <v>125</v>
      </c>
      <c r="S36" s="283">
        <f t="shared" si="20"/>
        <v>0.25</v>
      </c>
      <c r="T36" s="283">
        <f t="shared" si="21"/>
        <v>0.48</v>
      </c>
      <c r="U36" s="283"/>
      <c r="V36" s="283">
        <f t="shared" si="22"/>
        <v>0.6</v>
      </c>
      <c r="W36" s="279" t="str">
        <f>VLOOKUP($H$4,'RIO - M5'!$A$17:$AB$52,10)</f>
        <v>C</v>
      </c>
      <c r="X36" s="284">
        <f>VLOOKUP($H$4,'NW - M5'!$B$6:$N$41,7)</f>
        <v>1</v>
      </c>
      <c r="Y36" s="284">
        <f>VLOOKUP($H$4,'RIO - M5'!$A$17:$AB$52,11)</f>
        <v>2.4</v>
      </c>
      <c r="Z36" s="288">
        <f t="shared" si="23"/>
        <v>0.41666666666666669</v>
      </c>
      <c r="AA36" s="5"/>
      <c r="AB36" s="36"/>
    </row>
    <row r="37" spans="1:33" x14ac:dyDescent="0.2">
      <c r="A37" s="262">
        <f>BEGINBLAD!A38</f>
        <v>33</v>
      </c>
      <c r="B37" s="264">
        <f>BEGINBLAD!B38</f>
        <v>0</v>
      </c>
      <c r="H37" s="135"/>
      <c r="I37" s="280" t="s">
        <v>124</v>
      </c>
      <c r="J37" s="283">
        <f t="shared" si="16"/>
        <v>0.67500000000000016</v>
      </c>
      <c r="K37" s="283">
        <f t="shared" si="17"/>
        <v>0.48</v>
      </c>
      <c r="L37" s="283">
        <f t="shared" si="18"/>
        <v>0.6</v>
      </c>
      <c r="M37" s="279" t="str">
        <f>VLOOKUP($H$4,'RIO - E5'!$A$17:$AB$52,10)</f>
        <v>C</v>
      </c>
      <c r="N37" s="284">
        <f>VLOOKUP($H$4,'NW - E5'!$B$6:$N$41,5)</f>
        <v>2.7</v>
      </c>
      <c r="O37" s="284">
        <f>VLOOKUP($H$4,'RIO - E5'!$A$17:$AB$52,11)</f>
        <v>2.4</v>
      </c>
      <c r="P37" s="288">
        <f t="shared" si="19"/>
        <v>1.1250000000000002</v>
      </c>
      <c r="Q37" s="287"/>
      <c r="R37" s="280" t="s">
        <v>124</v>
      </c>
      <c r="S37" s="283">
        <f t="shared" si="20"/>
        <v>0.6</v>
      </c>
      <c r="T37" s="283">
        <f t="shared" si="21"/>
        <v>0.48</v>
      </c>
      <c r="U37" s="283"/>
      <c r="V37" s="283">
        <f t="shared" si="22"/>
        <v>0.6</v>
      </c>
      <c r="W37" s="279" t="str">
        <f>VLOOKUP($H$4,'RIO - E5'!$A$17:$AB$52,10)</f>
        <v>C</v>
      </c>
      <c r="X37" s="284">
        <f>VLOOKUP($H$4,'NW - E5'!$B$6:$N$41,7)</f>
        <v>2.4</v>
      </c>
      <c r="Y37" s="284">
        <f>VLOOKUP($H$4,'RIO - E5'!$A$17:$AB$52,11)</f>
        <v>2.4</v>
      </c>
      <c r="Z37" s="288">
        <f t="shared" si="23"/>
        <v>1</v>
      </c>
      <c r="AA37" s="253"/>
      <c r="AB37" s="36"/>
    </row>
    <row r="38" spans="1:33" x14ac:dyDescent="0.2">
      <c r="A38" s="262">
        <f>BEGINBLAD!A39</f>
        <v>34</v>
      </c>
      <c r="B38" s="264">
        <f>BEGINBLAD!B39</f>
        <v>0</v>
      </c>
      <c r="I38" s="280" t="s">
        <v>123</v>
      </c>
      <c r="J38" s="283">
        <f t="shared" si="16"/>
        <v>0.55000000000000004</v>
      </c>
      <c r="K38" s="283">
        <f t="shared" si="17"/>
        <v>0.48</v>
      </c>
      <c r="L38" s="283">
        <f t="shared" si="18"/>
        <v>0.6</v>
      </c>
      <c r="M38" s="279" t="str">
        <f>VLOOKUP($H$4,'RIO - M6'!$A$17:$AB$52,10)</f>
        <v>C</v>
      </c>
      <c r="N38" s="284">
        <f>VLOOKUP($H$4,'NW - M6'!$B$6:$N$41,5)</f>
        <v>2.2000000000000002</v>
      </c>
      <c r="O38" s="284">
        <f>VLOOKUP($H$4,'RIO - M6'!$A$17:$AB$52,11)</f>
        <v>2.4</v>
      </c>
      <c r="P38" s="288">
        <f t="shared" si="19"/>
        <v>0.91666666666666674</v>
      </c>
      <c r="Q38" s="287"/>
      <c r="R38" s="280" t="s">
        <v>123</v>
      </c>
      <c r="S38" s="283">
        <f t="shared" si="20"/>
        <v>0.4</v>
      </c>
      <c r="T38" s="283">
        <f t="shared" si="21"/>
        <v>0.48</v>
      </c>
      <c r="U38" s="283"/>
      <c r="V38" s="283">
        <f t="shared" si="22"/>
        <v>0.6</v>
      </c>
      <c r="W38" s="279" t="str">
        <f>VLOOKUP($H$4,'RIO - M6'!$A$17:$AB$52,10)</f>
        <v>C</v>
      </c>
      <c r="X38" s="284">
        <f>VLOOKUP($H$4,'NW - M6'!$B$6:$N$41,7)</f>
        <v>1.6</v>
      </c>
      <c r="Y38" s="284">
        <f>VLOOKUP($H$4,'RIO - M6'!$A$17:$AB$52,11)</f>
        <v>2.4</v>
      </c>
      <c r="Z38" s="288">
        <f t="shared" si="23"/>
        <v>0.66666666666666674</v>
      </c>
      <c r="AA38" s="253"/>
      <c r="AB38" s="36"/>
    </row>
    <row r="39" spans="1:33" x14ac:dyDescent="0.2">
      <c r="A39" s="262">
        <f>BEGINBLAD!A40</f>
        <v>35</v>
      </c>
      <c r="B39" s="264">
        <f>BEGINBLAD!B40</f>
        <v>0</v>
      </c>
      <c r="I39" s="280" t="s">
        <v>122</v>
      </c>
      <c r="J39" s="283">
        <f t="shared" si="16"/>
        <v>0</v>
      </c>
      <c r="K39" s="283">
        <f t="shared" si="17"/>
        <v>0.48</v>
      </c>
      <c r="L39" s="283">
        <f t="shared" si="18"/>
        <v>0.6</v>
      </c>
      <c r="M39" s="279" t="str">
        <f>VLOOKUP($H$4,'RIO - E6'!$A$17:$AB$52,10)</f>
        <v>C</v>
      </c>
      <c r="N39" s="284">
        <f>VLOOKUP($H$4,'NW - E6'!$B$6:$N$41,5)</f>
        <v>0</v>
      </c>
      <c r="O39" s="284">
        <f>VLOOKUP($H$4,'RIO - E6'!$A$17:$AB$52,11)</f>
        <v>2.4</v>
      </c>
      <c r="P39" s="288">
        <f t="shared" si="19"/>
        <v>0</v>
      </c>
      <c r="Q39" s="287"/>
      <c r="R39" s="280" t="s">
        <v>122</v>
      </c>
      <c r="S39" s="283">
        <f t="shared" si="20"/>
        <v>0</v>
      </c>
      <c r="T39" s="283">
        <f t="shared" si="21"/>
        <v>0.48</v>
      </c>
      <c r="U39" s="283"/>
      <c r="V39" s="283">
        <f t="shared" si="22"/>
        <v>0.6</v>
      </c>
      <c r="W39" s="279" t="str">
        <f>VLOOKUP($H$4,'RIO - E6'!$A$17:$AB$52,10)</f>
        <v>C</v>
      </c>
      <c r="X39" s="284">
        <f>VLOOKUP($H$4,'NW - E6'!$B$6:$N$41,7)</f>
        <v>0</v>
      </c>
      <c r="Y39" s="284">
        <f>VLOOKUP($H$4,'RIO - E6'!$A$17:$AB$52,11)</f>
        <v>2.4</v>
      </c>
      <c r="Z39" s="288">
        <f t="shared" si="23"/>
        <v>0</v>
      </c>
      <c r="AA39" s="253"/>
      <c r="AB39" s="36"/>
    </row>
    <row r="40" spans="1:33" x14ac:dyDescent="0.2">
      <c r="A40" s="262">
        <f>BEGINBLAD!A41</f>
        <v>36</v>
      </c>
      <c r="B40" s="264">
        <f>BEGINBLAD!B41</f>
        <v>0</v>
      </c>
      <c r="I40" s="280" t="s">
        <v>119</v>
      </c>
      <c r="J40" s="283">
        <f t="shared" si="16"/>
        <v>0</v>
      </c>
      <c r="K40" s="283">
        <f t="shared" si="17"/>
        <v>0.48</v>
      </c>
      <c r="L40" s="283">
        <f t="shared" si="18"/>
        <v>0.6</v>
      </c>
      <c r="M40" s="279" t="str">
        <f>VLOOKUP($H$4,'RIO - M7'!$A$17:$AB$52,10)</f>
        <v>C</v>
      </c>
      <c r="N40" s="284">
        <f>VLOOKUP($H$4,'NW - M7'!$B$6:$N$41,5)</f>
        <v>0</v>
      </c>
      <c r="O40" s="284">
        <f>VLOOKUP($H$4,'RIO - M7'!$A$17:$AB$52,11)</f>
        <v>2.4</v>
      </c>
      <c r="P40" s="288">
        <f t="shared" si="19"/>
        <v>0</v>
      </c>
      <c r="Q40" s="287"/>
      <c r="R40" s="280" t="s">
        <v>119</v>
      </c>
      <c r="S40" s="283">
        <f t="shared" si="20"/>
        <v>0</v>
      </c>
      <c r="T40" s="283">
        <f t="shared" si="21"/>
        <v>0.48</v>
      </c>
      <c r="U40" s="283"/>
      <c r="V40" s="283">
        <f t="shared" si="22"/>
        <v>0.6</v>
      </c>
      <c r="W40" s="279" t="str">
        <f>VLOOKUP($H$4,'RIO - M7'!$A$17:$AB$52,10)</f>
        <v>C</v>
      </c>
      <c r="X40" s="284">
        <f>VLOOKUP($H$4,'NW - M7'!$B$6:$N$41,7)</f>
        <v>0</v>
      </c>
      <c r="Y40" s="284">
        <f>VLOOKUP($H$4,'RIO - M7'!$A$17:$AB$52,11)</f>
        <v>2.4</v>
      </c>
      <c r="Z40" s="288">
        <f t="shared" si="23"/>
        <v>0</v>
      </c>
      <c r="AA40" s="253"/>
      <c r="AB40" s="36"/>
    </row>
    <row r="41" spans="1:33" ht="15" x14ac:dyDescent="0.3">
      <c r="I41" s="286" t="s">
        <v>118</v>
      </c>
      <c r="J41" s="283">
        <f t="shared" si="16"/>
        <v>0</v>
      </c>
      <c r="K41" s="283">
        <f t="shared" si="17"/>
        <v>0.48</v>
      </c>
      <c r="L41" s="283">
        <f t="shared" si="18"/>
        <v>0.6</v>
      </c>
      <c r="M41" s="279" t="str">
        <f>VLOOKUP($H$4,'RIO - E7'!$A$17:$AB$52,10)</f>
        <v>C</v>
      </c>
      <c r="N41" s="284">
        <f>VLOOKUP($H$4,'NW - E7'!$B$6:$N$41,5)</f>
        <v>0</v>
      </c>
      <c r="O41" s="284">
        <f>VLOOKUP($H$4,'RIO - E7'!$A$17:$AB$52,11)</f>
        <v>2.4</v>
      </c>
      <c r="P41" s="288">
        <f t="shared" si="19"/>
        <v>0</v>
      </c>
      <c r="Q41" s="287"/>
      <c r="R41" s="286" t="s">
        <v>118</v>
      </c>
      <c r="S41" s="283">
        <f t="shared" si="20"/>
        <v>0</v>
      </c>
      <c r="T41" s="283">
        <f t="shared" si="21"/>
        <v>0.48</v>
      </c>
      <c r="U41" s="283"/>
      <c r="V41" s="283">
        <f t="shared" si="22"/>
        <v>0.6</v>
      </c>
      <c r="W41" s="279" t="str">
        <f>VLOOKUP($H$4,'RIO - E7'!$A$17:$AB$52,10)</f>
        <v>C</v>
      </c>
      <c r="X41" s="284">
        <f>VLOOKUP($H$4,'NW - E7'!$B$6:$N$41,7)</f>
        <v>0</v>
      </c>
      <c r="Y41" s="284">
        <f>VLOOKUP($H$4,'RIO - E7'!$A$17:$AB$52,11)</f>
        <v>2.4</v>
      </c>
      <c r="Z41" s="288">
        <f t="shared" si="23"/>
        <v>0</v>
      </c>
      <c r="AA41" s="253"/>
      <c r="AB41" s="36"/>
    </row>
    <row r="42" spans="1:33" x14ac:dyDescent="0.2">
      <c r="I42" s="280" t="s">
        <v>117</v>
      </c>
      <c r="J42" s="283">
        <f t="shared" si="16"/>
        <v>0</v>
      </c>
      <c r="K42" s="283">
        <f t="shared" si="17"/>
        <v>0.48</v>
      </c>
      <c r="L42" s="283">
        <f t="shared" si="18"/>
        <v>0.6</v>
      </c>
      <c r="M42" s="279" t="str">
        <f>VLOOKUP($H$4,'RIO - M8'!$A$17:$AB$52,10)</f>
        <v>C</v>
      </c>
      <c r="N42" s="284">
        <f>VLOOKUP($H$4,'NW - M8'!$B$6:$N$41,5)</f>
        <v>0</v>
      </c>
      <c r="O42" s="284">
        <f>VLOOKUP($H$4,'RIO - M8'!$A$17:$AB$52,11)</f>
        <v>2.4</v>
      </c>
      <c r="P42" s="288">
        <f t="shared" si="19"/>
        <v>0</v>
      </c>
      <c r="Q42" s="287"/>
      <c r="R42" s="280" t="s">
        <v>117</v>
      </c>
      <c r="S42" s="283">
        <f t="shared" si="20"/>
        <v>0</v>
      </c>
      <c r="T42" s="283">
        <f t="shared" si="21"/>
        <v>0.48</v>
      </c>
      <c r="U42" s="283"/>
      <c r="V42" s="283">
        <f t="shared" si="22"/>
        <v>0.6</v>
      </c>
      <c r="W42" s="279" t="str">
        <f>VLOOKUP($H$4,'RIO - M8'!$A$17:$AB$52,10)</f>
        <v>C</v>
      </c>
      <c r="X42" s="284">
        <f>VLOOKUP($H$4,'NW - M8'!$B$6:$N$41,7)</f>
        <v>0</v>
      </c>
      <c r="Y42" s="284">
        <f>VLOOKUP($H$4,'RIO - M8'!$A$17:$AB$52,11)</f>
        <v>2.4</v>
      </c>
      <c r="Z42" s="288">
        <f t="shared" si="23"/>
        <v>0</v>
      </c>
      <c r="AA42" s="253"/>
      <c r="AB42" s="36"/>
    </row>
    <row r="43" spans="1:33" x14ac:dyDescent="0.2">
      <c r="I43" s="291"/>
      <c r="J43" s="291"/>
      <c r="K43" s="291"/>
      <c r="L43" s="291"/>
      <c r="M43" s="291"/>
      <c r="N43" s="291"/>
      <c r="O43" s="291"/>
      <c r="P43" s="291"/>
      <c r="Q43" s="291"/>
      <c r="R43" s="291"/>
      <c r="S43" s="291"/>
      <c r="T43" s="291"/>
      <c r="U43" s="291"/>
      <c r="V43" s="291"/>
      <c r="W43" s="291"/>
      <c r="X43" s="5"/>
      <c r="Y43" s="5"/>
      <c r="Z43" s="5"/>
      <c r="AA43" s="253"/>
      <c r="AB43" s="36"/>
    </row>
    <row r="44" spans="1:33" x14ac:dyDescent="0.2">
      <c r="I44" s="36"/>
      <c r="J44" s="36"/>
      <c r="K44" s="36"/>
      <c r="L44" s="36"/>
      <c r="M44" s="36"/>
      <c r="N44" s="36"/>
      <c r="O44" s="36"/>
      <c r="P44" s="36"/>
      <c r="Q44" s="36"/>
      <c r="R44" s="36"/>
      <c r="S44" s="36"/>
      <c r="T44" s="36"/>
      <c r="U44" s="36"/>
      <c r="V44" s="36"/>
      <c r="W44" s="36"/>
      <c r="X44" s="253"/>
      <c r="Y44" s="253"/>
      <c r="Z44" s="253"/>
      <c r="AA44" s="253"/>
      <c r="AB44" s="36"/>
    </row>
    <row r="45" spans="1:33" x14ac:dyDescent="0.2">
      <c r="I45" s="36"/>
      <c r="J45" s="36"/>
      <c r="K45" s="36"/>
      <c r="L45" s="36"/>
      <c r="M45" s="36"/>
      <c r="N45" s="36"/>
      <c r="O45" s="36"/>
      <c r="P45" s="36"/>
      <c r="Q45" s="36"/>
      <c r="R45" s="36"/>
      <c r="S45" s="36"/>
      <c r="T45" s="36"/>
      <c r="U45" s="36"/>
      <c r="V45" s="36"/>
      <c r="W45" s="36"/>
      <c r="X45" s="253"/>
      <c r="Y45" s="253"/>
      <c r="Z45" s="253"/>
      <c r="AA45" s="253"/>
      <c r="AB45" s="36"/>
    </row>
    <row r="46" spans="1:33" x14ac:dyDescent="0.2">
      <c r="I46" s="36"/>
      <c r="J46" s="36"/>
      <c r="K46" s="36"/>
      <c r="L46" s="36"/>
      <c r="M46" s="36"/>
      <c r="N46" s="36"/>
      <c r="O46" s="36"/>
      <c r="P46" s="36"/>
      <c r="Q46" s="36"/>
      <c r="R46" s="36"/>
      <c r="S46" s="36"/>
      <c r="T46" s="36"/>
      <c r="U46" s="36"/>
      <c r="V46" s="36"/>
      <c r="W46" s="36"/>
      <c r="X46" s="253"/>
      <c r="Y46" s="253"/>
      <c r="Z46" s="253"/>
      <c r="AA46" s="253"/>
      <c r="AB46" s="36"/>
    </row>
    <row r="47" spans="1:33" x14ac:dyDescent="0.2">
      <c r="I47" s="36"/>
      <c r="J47" s="36"/>
      <c r="K47" s="36"/>
      <c r="L47" s="36"/>
      <c r="M47" s="36"/>
      <c r="N47" s="36"/>
      <c r="O47" s="36"/>
      <c r="P47" s="36"/>
      <c r="Q47" s="36"/>
      <c r="R47" s="36"/>
      <c r="S47" s="36"/>
      <c r="T47" s="36"/>
      <c r="U47" s="36"/>
      <c r="V47" s="36"/>
      <c r="W47" s="36"/>
      <c r="X47" s="253"/>
      <c r="Y47" s="253"/>
      <c r="Z47" s="253"/>
      <c r="AA47" s="253"/>
      <c r="AB47" s="36"/>
    </row>
    <row r="48" spans="1:33" x14ac:dyDescent="0.2">
      <c r="I48" s="36"/>
      <c r="J48" s="36"/>
      <c r="K48" s="36"/>
      <c r="L48" s="36"/>
      <c r="M48" s="36"/>
      <c r="N48" s="36"/>
      <c r="O48" s="36"/>
      <c r="P48" s="36"/>
      <c r="Q48" s="36"/>
      <c r="R48" s="36"/>
      <c r="S48" s="36"/>
      <c r="T48" s="36"/>
      <c r="U48" s="36"/>
      <c r="V48" s="36"/>
      <c r="W48" s="36"/>
      <c r="X48" s="253"/>
      <c r="Y48" s="253"/>
      <c r="Z48" s="253"/>
      <c r="AA48" s="253"/>
      <c r="AB48" s="36"/>
    </row>
    <row r="49" spans="9:28" x14ac:dyDescent="0.2">
      <c r="I49" s="36"/>
      <c r="J49" s="36"/>
      <c r="K49" s="36"/>
      <c r="L49" s="36"/>
      <c r="M49" s="36"/>
      <c r="N49" s="36"/>
      <c r="O49" s="36"/>
      <c r="P49" s="36"/>
      <c r="Q49" s="36"/>
      <c r="R49" s="36"/>
      <c r="S49" s="36"/>
      <c r="T49" s="36"/>
      <c r="U49" s="36"/>
      <c r="V49" s="36"/>
      <c r="W49" s="36"/>
      <c r="X49" s="253"/>
      <c r="Y49" s="253"/>
      <c r="Z49" s="253"/>
      <c r="AA49" s="253"/>
      <c r="AB49" s="36"/>
    </row>
    <row r="50" spans="9:28" x14ac:dyDescent="0.2">
      <c r="I50" s="36"/>
      <c r="J50" s="36"/>
      <c r="K50" s="36"/>
      <c r="L50" s="36"/>
      <c r="M50" s="36"/>
      <c r="N50" s="36"/>
      <c r="O50" s="36"/>
      <c r="P50" s="36"/>
      <c r="Q50" s="36"/>
      <c r="R50" s="36"/>
      <c r="S50" s="36"/>
      <c r="T50" s="36"/>
      <c r="U50" s="36"/>
      <c r="V50" s="36"/>
      <c r="W50" s="36"/>
      <c r="X50" s="253"/>
      <c r="Y50" s="253"/>
      <c r="Z50" s="253"/>
      <c r="AA50" s="253"/>
      <c r="AB50" s="36"/>
    </row>
    <row r="51" spans="9:28" x14ac:dyDescent="0.2">
      <c r="I51" s="36"/>
      <c r="J51" s="36"/>
      <c r="K51" s="36"/>
      <c r="L51" s="36"/>
      <c r="M51" s="36"/>
      <c r="N51" s="36"/>
      <c r="O51" s="36"/>
      <c r="P51" s="36"/>
      <c r="Q51" s="36"/>
      <c r="R51" s="36"/>
      <c r="S51" s="36"/>
      <c r="T51" s="36"/>
      <c r="U51" s="36"/>
      <c r="V51" s="36"/>
      <c r="W51" s="36"/>
      <c r="X51" s="253"/>
      <c r="Y51" s="253"/>
      <c r="Z51" s="253"/>
      <c r="AA51" s="253"/>
      <c r="AB51" s="36"/>
    </row>
  </sheetData>
  <sheetProtection algorithmName="SHA-512" hashValue="znHSTeTIVYgr2XyOp1ohUqUI/BOOAiz+l7R4zY8MCAT5AyvdIE4p2FxovLos3odcTDGJYfl5iY+JA5XEf+h+Dw==" saltValue="XfH2xA68yJrU+wLua3hZ3w==" spinCount="100000" sheet="1" objects="1" scenarios="1"/>
  <mergeCells count="13">
    <mergeCell ref="I19:L19"/>
    <mergeCell ref="R19:V19"/>
    <mergeCell ref="I32:L32"/>
    <mergeCell ref="R32:V32"/>
    <mergeCell ref="O2:P2"/>
    <mergeCell ref="E4:G4"/>
    <mergeCell ref="I4:T4"/>
    <mergeCell ref="I7:L7"/>
    <mergeCell ref="R7:V7"/>
    <mergeCell ref="D2:E2"/>
    <mergeCell ref="I2:J2"/>
    <mergeCell ref="K2:L2"/>
    <mergeCell ref="M2:N2"/>
  </mergeCells>
  <phoneticPr fontId="3" type="noConversion"/>
  <pageMargins left="0.12" right="0.25" top="0.8" bottom="0.27" header="0.33" footer="0.14000000000000001"/>
  <pageSetup paperSize="9" scale="47" orientation="landscape" horizontalDpi="4294967293" r:id="rId1"/>
  <headerFooter alignWithMargins="0">
    <oddHeader>&amp;C&amp;14Totaal Ontwikkelings Perspectief (TOP)</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pageSetUpPr fitToPage="1"/>
  </sheetPr>
  <dimension ref="A2:Y40"/>
  <sheetViews>
    <sheetView showGridLines="0" showRowColHeaders="0" zoomScale="75" zoomScaleNormal="75" workbookViewId="0">
      <selection activeCell="F5" sqref="F5"/>
    </sheetView>
  </sheetViews>
  <sheetFormatPr defaultRowHeight="12.75" x14ac:dyDescent="0.2"/>
  <cols>
    <col min="1" max="1" width="4.28515625" bestFit="1" customWidth="1"/>
    <col min="2" max="2" width="20.7109375" style="54" customWidth="1"/>
    <col min="3" max="3" width="4" customWidth="1"/>
    <col min="5" max="5" width="18" customWidth="1"/>
    <col min="6" max="6" width="9.42578125" bestFit="1" customWidth="1"/>
    <col min="11" max="11" width="12.28515625" bestFit="1" customWidth="1"/>
    <col min="12" max="12" width="9.42578125" bestFit="1" customWidth="1"/>
    <col min="13" max="13" width="10.5703125" bestFit="1" customWidth="1"/>
    <col min="19" max="19" width="3.7109375" customWidth="1"/>
    <col min="20" max="20" width="5.140625" customWidth="1"/>
    <col min="21" max="24" width="15.7109375" style="1" customWidth="1"/>
    <col min="25" max="25" width="15.7109375" customWidth="1"/>
  </cols>
  <sheetData>
    <row r="2" spans="1:25" ht="21" x14ac:dyDescent="0.4">
      <c r="D2" s="316"/>
      <c r="E2" s="316"/>
      <c r="F2" s="251"/>
      <c r="G2" s="316"/>
      <c r="H2" s="316"/>
      <c r="I2" s="314"/>
      <c r="J2" s="314"/>
      <c r="K2" s="314"/>
      <c r="L2" s="314"/>
      <c r="M2" s="314"/>
      <c r="N2" s="314"/>
    </row>
    <row r="3" spans="1:25" ht="13.5" thickBot="1" x14ac:dyDescent="0.25"/>
    <row r="4" spans="1:25" ht="21.75" thickBot="1" x14ac:dyDescent="0.45">
      <c r="A4" s="41"/>
      <c r="B4" s="263" t="str">
        <f>BEGINBLAD!A5</f>
        <v>namen leerlingen:</v>
      </c>
      <c r="D4" s="352" t="s">
        <v>24</v>
      </c>
      <c r="E4" s="353"/>
      <c r="F4" s="217">
        <v>1</v>
      </c>
      <c r="G4" s="357" t="str">
        <f>VLOOKUP($F$4,BEGINBLAD!A1:B41,2)</f>
        <v>leerling 1</v>
      </c>
      <c r="H4" s="358"/>
      <c r="I4" s="358"/>
      <c r="J4" s="358"/>
      <c r="K4" s="358"/>
      <c r="L4" s="358"/>
      <c r="M4" s="358"/>
      <c r="N4" s="358"/>
      <c r="O4" s="358"/>
      <c r="P4" s="358"/>
      <c r="Q4" s="358"/>
      <c r="R4" s="363"/>
      <c r="U4" s="220" t="s">
        <v>120</v>
      </c>
      <c r="V4" s="232" t="s">
        <v>109</v>
      </c>
      <c r="W4" s="232" t="s">
        <v>121</v>
      </c>
      <c r="X4" s="232" t="s">
        <v>130</v>
      </c>
      <c r="Y4" s="233" t="s">
        <v>108</v>
      </c>
    </row>
    <row r="5" spans="1:25" ht="12.75" customHeight="1" x14ac:dyDescent="0.2">
      <c r="A5" s="262">
        <f>BEGINBLAD!A6</f>
        <v>1</v>
      </c>
      <c r="B5" s="264" t="str">
        <f>BEGINBLAD!B6</f>
        <v>leerling 1</v>
      </c>
    </row>
    <row r="6" spans="1:25" ht="12.75" customHeight="1" x14ac:dyDescent="0.2">
      <c r="A6" s="262">
        <f>BEGINBLAD!A7</f>
        <v>2</v>
      </c>
      <c r="B6" s="264" t="str">
        <f>BEGINBLAD!B7</f>
        <v>leerling 2</v>
      </c>
      <c r="U6" s="268" t="s">
        <v>127</v>
      </c>
      <c r="V6" s="269" t="str">
        <f>VLOOKUP($F$4,'RIO - M4'!$A$17:$AB$52,10)</f>
        <v>C</v>
      </c>
      <c r="W6" s="270" t="str">
        <f>VLOOKUP($F$4,'NW - M4'!$B$6:$N$41,12)</f>
        <v/>
      </c>
      <c r="X6" s="270">
        <f>VLOOKUP($F$4,'RIO - M4'!$A$17:$AB$52,11)</f>
        <v>2.4</v>
      </c>
      <c r="Y6" s="271" t="str">
        <f>IF(W6="","",IF(W6&gt;0,W6/X6))</f>
        <v/>
      </c>
    </row>
    <row r="7" spans="1:25" ht="12.75" customHeight="1" x14ac:dyDescent="0.2">
      <c r="A7" s="262">
        <f>BEGINBLAD!A8</f>
        <v>3</v>
      </c>
      <c r="B7" s="264" t="str">
        <f>BEGINBLAD!B8</f>
        <v>leerling 3</v>
      </c>
      <c r="J7" t="s">
        <v>128</v>
      </c>
      <c r="K7" t="s">
        <v>129</v>
      </c>
      <c r="L7" t="s">
        <v>114</v>
      </c>
      <c r="M7" t="s">
        <v>101</v>
      </c>
      <c r="U7" s="272"/>
      <c r="V7" s="261"/>
      <c r="W7" s="261"/>
      <c r="X7" s="261"/>
      <c r="Y7" s="274" t="str">
        <f t="shared" ref="Y7:Y22" si="0">IF(W7="","",IF(W7&gt;0,W7/X7))</f>
        <v/>
      </c>
    </row>
    <row r="8" spans="1:25" ht="12.75" customHeight="1" x14ac:dyDescent="0.2">
      <c r="A8" s="262">
        <f>BEGINBLAD!A9</f>
        <v>4</v>
      </c>
      <c r="B8" s="264">
        <f>BEGINBLAD!B9</f>
        <v>0</v>
      </c>
      <c r="F8" s="32"/>
      <c r="G8" s="32"/>
      <c r="H8" s="32"/>
      <c r="I8" s="32"/>
      <c r="J8" s="1" t="s">
        <v>127</v>
      </c>
      <c r="K8" s="254" t="e">
        <f>Y6*M8</f>
        <v>#VALUE!</v>
      </c>
      <c r="L8" s="254">
        <f t="shared" ref="L8:L14" si="1">0.8*M8</f>
        <v>0.48</v>
      </c>
      <c r="M8" s="254">
        <f>IF(V6="A",1,IF(V6="B",0.8,IF(V6="C",0.6,IF(V6="D",0.4,IF(V6="E",0.2)))))</f>
        <v>0.6</v>
      </c>
      <c r="U8" s="273" t="s">
        <v>126</v>
      </c>
      <c r="V8" s="265" t="str">
        <f>VLOOKUP($F$4,'RIO - E4'!$A$17:$AB$52,10)</f>
        <v>C</v>
      </c>
      <c r="W8" s="266" t="str">
        <f>VLOOKUP($F$4,'NW - E4'!$B$6:$N$41,12)</f>
        <v/>
      </c>
      <c r="X8" s="266">
        <f>VLOOKUP($F$4,'RIO - E4'!$A$17:$AB$52,11)</f>
        <v>2.4</v>
      </c>
      <c r="Y8" s="274" t="str">
        <f t="shared" si="0"/>
        <v/>
      </c>
    </row>
    <row r="9" spans="1:25" ht="12.75" customHeight="1" x14ac:dyDescent="0.2">
      <c r="A9" s="262">
        <f>BEGINBLAD!A10</f>
        <v>5</v>
      </c>
      <c r="B9" s="264">
        <f>BEGINBLAD!B10</f>
        <v>0</v>
      </c>
      <c r="F9" s="32"/>
      <c r="G9" s="32"/>
      <c r="H9" s="32"/>
      <c r="I9" s="32"/>
      <c r="J9" s="1" t="s">
        <v>126</v>
      </c>
      <c r="K9" s="254" t="e">
        <f>Y8*M9</f>
        <v>#VALUE!</v>
      </c>
      <c r="L9" s="254">
        <f t="shared" si="1"/>
        <v>0.48</v>
      </c>
      <c r="M9" s="254">
        <f>IF(V8="A",1,IF(V8="B",0.8,IF(V8="C",0.6,IF(V8="D",0.4,IF(V8="E",0.2)))))</f>
        <v>0.6</v>
      </c>
      <c r="U9" s="272"/>
      <c r="V9" s="267"/>
      <c r="W9" s="261"/>
      <c r="X9" s="261"/>
      <c r="Y9" s="274" t="str">
        <f t="shared" si="0"/>
        <v/>
      </c>
    </row>
    <row r="10" spans="1:25" ht="12.75" customHeight="1" x14ac:dyDescent="0.3">
      <c r="A10" s="262">
        <f>BEGINBLAD!A11</f>
        <v>6</v>
      </c>
      <c r="B10" s="264">
        <f>BEGINBLAD!B11</f>
        <v>0</v>
      </c>
      <c r="F10" s="252"/>
      <c r="G10" s="252"/>
      <c r="H10" s="252"/>
      <c r="I10" s="252"/>
      <c r="J10" s="1" t="s">
        <v>125</v>
      </c>
      <c r="K10" s="254">
        <f>Y10*M10</f>
        <v>0.67499999999999993</v>
      </c>
      <c r="L10" s="254">
        <f t="shared" si="1"/>
        <v>0.48</v>
      </c>
      <c r="M10" s="254">
        <f>IF(V10="A",1,IF(V10="B",0.8,IF(V10="C",0.6,IF(V10="D",0.4,IF(V10="E",0.2)))))</f>
        <v>0.6</v>
      </c>
      <c r="U10" s="273" t="s">
        <v>125</v>
      </c>
      <c r="V10" s="265" t="str">
        <f>VLOOKUP($F$4,'RIO - M5'!$A$17:$AB$52,10)</f>
        <v>C</v>
      </c>
      <c r="W10" s="266">
        <f>VLOOKUP($F$4,'NW - M5'!$B$6:$N$41,12)</f>
        <v>2.6999999999999997</v>
      </c>
      <c r="X10" s="266">
        <f>VLOOKUP($F$4,'RIO - M5'!$A$17:$AB$52,11)</f>
        <v>2.4</v>
      </c>
      <c r="Y10" s="274">
        <f t="shared" si="0"/>
        <v>1.125</v>
      </c>
    </row>
    <row r="11" spans="1:25" ht="12.75" customHeight="1" x14ac:dyDescent="0.2">
      <c r="A11" s="262">
        <f>BEGINBLAD!A12</f>
        <v>7</v>
      </c>
      <c r="B11" s="264">
        <f>BEGINBLAD!B12</f>
        <v>0</v>
      </c>
      <c r="F11" s="253"/>
      <c r="G11" s="253"/>
      <c r="H11" s="253"/>
      <c r="I11" s="253"/>
      <c r="J11" s="1" t="s">
        <v>124</v>
      </c>
      <c r="K11" s="254">
        <f>Y12*M11</f>
        <v>0.63750000000000007</v>
      </c>
      <c r="L11" s="254">
        <f t="shared" si="1"/>
        <v>0.48</v>
      </c>
      <c r="M11" s="254">
        <f>IF(V12="A",1,IF(V12="B",0.8,IF(V12="C",0.6,IF(V12="D",0.4,IF(V12="E",0.2)))))</f>
        <v>0.6</v>
      </c>
      <c r="U11" s="272"/>
      <c r="V11" s="267"/>
      <c r="W11" s="261"/>
      <c r="X11" s="261"/>
      <c r="Y11" s="274" t="str">
        <f t="shared" si="0"/>
        <v/>
      </c>
    </row>
    <row r="12" spans="1:25" ht="12.75" customHeight="1" x14ac:dyDescent="0.2">
      <c r="A12" s="262">
        <f>BEGINBLAD!A13</f>
        <v>8</v>
      </c>
      <c r="B12" s="264">
        <f>BEGINBLAD!B13</f>
        <v>0</v>
      </c>
      <c r="F12" s="254"/>
      <c r="G12" s="254"/>
      <c r="H12" s="254"/>
      <c r="I12" s="254"/>
      <c r="J12" s="1" t="s">
        <v>123</v>
      </c>
      <c r="K12" s="254">
        <f>Y14*M12</f>
        <v>0.78333333333333333</v>
      </c>
      <c r="L12" s="254">
        <f t="shared" si="1"/>
        <v>0.48</v>
      </c>
      <c r="M12" s="254">
        <f>IF(V14="A",1,IF(V14="B",0.8,IF(V14="C",0.6,IF(V14="D",0.4,IF(V14="E",0.2)))))</f>
        <v>0.6</v>
      </c>
      <c r="U12" s="273" t="s">
        <v>124</v>
      </c>
      <c r="V12" s="265" t="str">
        <f>VLOOKUP($F$4,'RIO - E5'!$A$17:$AB$52,10)</f>
        <v>C</v>
      </c>
      <c r="W12" s="266">
        <f>VLOOKUP($F$4,'NW - E5'!$B$6:$N$41,12)</f>
        <v>2.5500000000000003</v>
      </c>
      <c r="X12" s="266">
        <f>VLOOKUP($F$4,'RIO - E5'!$A$17:$AB$52,11)</f>
        <v>2.4</v>
      </c>
      <c r="Y12" s="274">
        <f t="shared" si="0"/>
        <v>1.0625000000000002</v>
      </c>
    </row>
    <row r="13" spans="1:25" ht="12.75" customHeight="1" x14ac:dyDescent="0.2">
      <c r="A13" s="262">
        <f>BEGINBLAD!A14</f>
        <v>9</v>
      </c>
      <c r="B13" s="264">
        <f>BEGINBLAD!B14</f>
        <v>0</v>
      </c>
      <c r="F13" s="36"/>
      <c r="G13" s="36"/>
      <c r="H13" s="36"/>
      <c r="I13" s="36"/>
      <c r="J13" s="1" t="s">
        <v>122</v>
      </c>
      <c r="K13" s="254">
        <f>Y16*M13</f>
        <v>0.57499999999999996</v>
      </c>
      <c r="L13" s="254">
        <f t="shared" si="1"/>
        <v>0.48</v>
      </c>
      <c r="M13" s="254">
        <f>IF(V16="A",1,IF(V16="B",0.8,IF(V16="C",0.6,IF(V16="D",0.4,IF(V16="E",0.2)))))</f>
        <v>0.6</v>
      </c>
      <c r="U13" s="272"/>
      <c r="V13" s="267"/>
      <c r="W13" s="261"/>
      <c r="X13" s="261"/>
      <c r="Y13" s="274" t="str">
        <f t="shared" si="0"/>
        <v/>
      </c>
    </row>
    <row r="14" spans="1:25" ht="12.75" customHeight="1" x14ac:dyDescent="0.3">
      <c r="A14" s="262">
        <f>BEGINBLAD!A15</f>
        <v>10</v>
      </c>
      <c r="B14" s="264">
        <f>BEGINBLAD!B15</f>
        <v>0</v>
      </c>
      <c r="D14" s="2"/>
      <c r="F14" s="32"/>
      <c r="G14" s="32"/>
      <c r="H14" s="32"/>
      <c r="I14" s="32"/>
      <c r="J14" s="1" t="s">
        <v>119</v>
      </c>
      <c r="K14" s="254">
        <f>Y18*M14</f>
        <v>0.61666666666666659</v>
      </c>
      <c r="L14" s="254">
        <f t="shared" si="1"/>
        <v>0.48</v>
      </c>
      <c r="M14" s="254">
        <f>IF(V18="A",1,IF(V18="B",0.8,IF(V18="C",0.6,IF(V18="D",0.4,IF(V18="E",0.2)))))</f>
        <v>0.6</v>
      </c>
      <c r="U14" s="273" t="s">
        <v>123</v>
      </c>
      <c r="V14" s="265" t="str">
        <f>VLOOKUP($F$4,'RIO - M6'!$A$17:$AB$52,10)</f>
        <v>C</v>
      </c>
      <c r="W14" s="266">
        <f>VLOOKUP($F$4,'NW - M6'!$B$6:$N$41,12)</f>
        <v>3.1333333333333333</v>
      </c>
      <c r="X14" s="266">
        <f>VLOOKUP($F$4,'RIO - M6'!$A$17:$AB$52,11)</f>
        <v>2.4</v>
      </c>
      <c r="Y14" s="274">
        <f t="shared" si="0"/>
        <v>1.3055555555555556</v>
      </c>
    </row>
    <row r="15" spans="1:25" ht="12.75" customHeight="1" x14ac:dyDescent="0.3">
      <c r="A15" s="262">
        <f>BEGINBLAD!A16</f>
        <v>11</v>
      </c>
      <c r="B15" s="264">
        <f>BEGINBLAD!B16</f>
        <v>0</v>
      </c>
      <c r="J15" s="252" t="s">
        <v>118</v>
      </c>
      <c r="K15" s="254">
        <f>Y20*M15</f>
        <v>0.59166666666666667</v>
      </c>
      <c r="L15" s="254">
        <f>0.8*M15</f>
        <v>0.48</v>
      </c>
      <c r="M15" s="254">
        <f>IF(V20="A",1,IF(V20="B",0.8,IF(V20="C",0.6,IF(V20="D",0.4,IF(V20="E",0.2)))))</f>
        <v>0.6</v>
      </c>
      <c r="U15" s="272"/>
      <c r="V15" s="267"/>
      <c r="W15" s="261"/>
      <c r="X15" s="261"/>
      <c r="Y15" s="274" t="str">
        <f t="shared" si="0"/>
        <v/>
      </c>
    </row>
    <row r="16" spans="1:25" ht="12.75" customHeight="1" x14ac:dyDescent="0.2">
      <c r="A16" s="262">
        <f>BEGINBLAD!A17</f>
        <v>12</v>
      </c>
      <c r="B16" s="264">
        <f>BEGINBLAD!B17</f>
        <v>0</v>
      </c>
      <c r="H16" s="1"/>
      <c r="I16" s="1"/>
      <c r="J16" s="253" t="s">
        <v>117</v>
      </c>
      <c r="K16" s="254">
        <f>Y22*M16</f>
        <v>0.61666666666666659</v>
      </c>
      <c r="L16" s="254">
        <f>0.8*M16</f>
        <v>0.48</v>
      </c>
      <c r="M16" s="254">
        <f>IF(V22="A",1,IF(V22="B",0.8,IF(V22="C",0.6,IF(V22="D",0.4,IF(V22="E",0.2)))))</f>
        <v>0.6</v>
      </c>
      <c r="U16" s="273" t="s">
        <v>122</v>
      </c>
      <c r="V16" s="265" t="str">
        <f>VLOOKUP($F$4,'RIO - E6'!$A$17:$AB$52,10)</f>
        <v>C</v>
      </c>
      <c r="W16" s="266">
        <f>VLOOKUP($F$4,'NW - E6'!$B$6:$N$41,12)</f>
        <v>2.2999999999999998</v>
      </c>
      <c r="X16" s="266">
        <f>VLOOKUP($F$4,'RIO - E6'!$A$17:$AB$52,11)</f>
        <v>2.4</v>
      </c>
      <c r="Y16" s="274">
        <f t="shared" si="0"/>
        <v>0.95833333333333326</v>
      </c>
    </row>
    <row r="17" spans="1:25" ht="12.75" customHeight="1" x14ac:dyDescent="0.4">
      <c r="A17" s="262">
        <f>BEGINBLAD!A18</f>
        <v>13</v>
      </c>
      <c r="B17" s="264">
        <f>BEGINBLAD!B18</f>
        <v>0</v>
      </c>
      <c r="H17" s="256"/>
      <c r="I17" s="257"/>
      <c r="J17" s="255"/>
      <c r="K17" s="255"/>
      <c r="L17" s="258"/>
      <c r="U17" s="272"/>
      <c r="V17" s="267"/>
      <c r="W17" s="261"/>
      <c r="X17" s="261"/>
      <c r="Y17" s="274" t="str">
        <f t="shared" si="0"/>
        <v/>
      </c>
    </row>
    <row r="18" spans="1:25" ht="12.75" customHeight="1" x14ac:dyDescent="0.4">
      <c r="A18" s="262">
        <f>BEGINBLAD!A19</f>
        <v>14</v>
      </c>
      <c r="B18" s="264">
        <f>BEGINBLAD!B19</f>
        <v>0</v>
      </c>
      <c r="H18" s="256"/>
      <c r="I18" s="257"/>
      <c r="J18" s="255"/>
      <c r="K18" s="255"/>
      <c r="L18" s="258"/>
      <c r="U18" s="273" t="s">
        <v>119</v>
      </c>
      <c r="V18" s="265" t="str">
        <f>VLOOKUP($F$4,'RIO - M7'!$A$17:$AB$52,10)</f>
        <v>C</v>
      </c>
      <c r="W18" s="266">
        <f>VLOOKUP($F$4,'NW - M7'!$B$6:$N$41,12)</f>
        <v>2.4666666666666663</v>
      </c>
      <c r="X18" s="266">
        <f>VLOOKUP($F$4,'RIO - M7'!$A$17:$AB$52,11)</f>
        <v>2.4</v>
      </c>
      <c r="Y18" s="274">
        <f t="shared" si="0"/>
        <v>1.0277777777777777</v>
      </c>
    </row>
    <row r="19" spans="1:25" ht="12.75" customHeight="1" x14ac:dyDescent="0.4">
      <c r="A19" s="262">
        <f>BEGINBLAD!A20</f>
        <v>15</v>
      </c>
      <c r="B19" s="264">
        <f>BEGINBLAD!B20</f>
        <v>0</v>
      </c>
      <c r="H19" s="256"/>
      <c r="I19" s="257"/>
      <c r="J19" s="255"/>
      <c r="K19" s="255"/>
      <c r="L19" s="258"/>
      <c r="U19" s="272"/>
      <c r="V19" s="267"/>
      <c r="W19" s="261"/>
      <c r="X19" s="261"/>
      <c r="Y19" s="274" t="str">
        <f t="shared" si="0"/>
        <v/>
      </c>
    </row>
    <row r="20" spans="1:25" ht="12.75" customHeight="1" x14ac:dyDescent="0.2">
      <c r="A20" s="262">
        <f>BEGINBLAD!A21</f>
        <v>16</v>
      </c>
      <c r="B20" s="264">
        <f>BEGINBLAD!B21</f>
        <v>0</v>
      </c>
      <c r="H20" s="259"/>
      <c r="I20" s="259"/>
      <c r="J20" s="259"/>
      <c r="K20" s="259"/>
      <c r="L20" s="259"/>
      <c r="U20" s="273" t="s">
        <v>118</v>
      </c>
      <c r="V20" s="265" t="str">
        <f>VLOOKUP($F$4,'RIO - E7'!$A$17:$AB$52,10)</f>
        <v>C</v>
      </c>
      <c r="W20" s="266">
        <f>VLOOKUP($F$4,'NW - E7'!$B$6:$N$41,12)</f>
        <v>2.3666666666666667</v>
      </c>
      <c r="X20" s="266">
        <f>VLOOKUP($F$4,'RIO - E7'!$A$17:$AB$52,11)</f>
        <v>2.4</v>
      </c>
      <c r="Y20" s="274">
        <f t="shared" si="0"/>
        <v>0.98611111111111116</v>
      </c>
    </row>
    <row r="21" spans="1:25" ht="12.75" customHeight="1" x14ac:dyDescent="0.2">
      <c r="A21" s="262">
        <f>BEGINBLAD!A22</f>
        <v>17</v>
      </c>
      <c r="B21" s="264">
        <f>BEGINBLAD!B22</f>
        <v>0</v>
      </c>
      <c r="U21" s="272"/>
      <c r="V21" s="267"/>
      <c r="W21" s="261"/>
      <c r="X21" s="261"/>
      <c r="Y21" s="274" t="str">
        <f t="shared" si="0"/>
        <v/>
      </c>
    </row>
    <row r="22" spans="1:25" ht="12.75" customHeight="1" x14ac:dyDescent="0.2">
      <c r="A22" s="262">
        <f>BEGINBLAD!A23</f>
        <v>18</v>
      </c>
      <c r="B22" s="264">
        <f>BEGINBLAD!B23</f>
        <v>0</v>
      </c>
      <c r="U22" s="275" t="s">
        <v>117</v>
      </c>
      <c r="V22" s="276" t="str">
        <f>VLOOKUP($F$4,'RIO - M8'!$A$17:$AB$52,10)</f>
        <v>C</v>
      </c>
      <c r="W22" s="277">
        <f>VLOOKUP($F$4,'NW - M8'!$B$6:$N$41,12)</f>
        <v>2.4666666666666663</v>
      </c>
      <c r="X22" s="277">
        <f>VLOOKUP($F$4,'RIO - M8'!$A$17:$AB$52,11)</f>
        <v>2.4</v>
      </c>
      <c r="Y22" s="278">
        <f t="shared" si="0"/>
        <v>1.0277777777777777</v>
      </c>
    </row>
    <row r="23" spans="1:25" ht="12.75" customHeight="1" x14ac:dyDescent="0.2">
      <c r="A23" s="262">
        <f>BEGINBLAD!A24</f>
        <v>19</v>
      </c>
      <c r="B23" s="264">
        <f>BEGINBLAD!B24</f>
        <v>0</v>
      </c>
    </row>
    <row r="24" spans="1:25" ht="12.75" customHeight="1" x14ac:dyDescent="0.4">
      <c r="A24" s="262">
        <f>BEGINBLAD!A25</f>
        <v>20</v>
      </c>
      <c r="B24" s="264">
        <f>BEGINBLAD!B25</f>
        <v>0</v>
      </c>
      <c r="U24" s="260"/>
    </row>
    <row r="25" spans="1:25" ht="12.75" customHeight="1" x14ac:dyDescent="0.4">
      <c r="A25" s="262">
        <f>BEGINBLAD!A26</f>
        <v>21</v>
      </c>
      <c r="B25" s="264">
        <f>BEGINBLAD!B26</f>
        <v>0</v>
      </c>
      <c r="U25" s="260"/>
    </row>
    <row r="26" spans="1:25" ht="12.75" customHeight="1" x14ac:dyDescent="0.4">
      <c r="A26" s="262">
        <f>BEGINBLAD!A27</f>
        <v>22</v>
      </c>
      <c r="B26" s="264">
        <f>BEGINBLAD!B27</f>
        <v>0</v>
      </c>
      <c r="U26" s="260"/>
    </row>
    <row r="27" spans="1:25" ht="12.75" customHeight="1" x14ac:dyDescent="0.2">
      <c r="A27" s="262">
        <f>BEGINBLAD!A28</f>
        <v>23</v>
      </c>
      <c r="B27" s="264">
        <f>BEGINBLAD!B28</f>
        <v>0</v>
      </c>
    </row>
    <row r="28" spans="1:25" ht="12.75" customHeight="1" x14ac:dyDescent="0.2">
      <c r="A28" s="262">
        <f>BEGINBLAD!A29</f>
        <v>24</v>
      </c>
      <c r="B28" s="264">
        <f>BEGINBLAD!B29</f>
        <v>0</v>
      </c>
    </row>
    <row r="29" spans="1:25" ht="12.75" customHeight="1" x14ac:dyDescent="0.2">
      <c r="A29" s="262">
        <f>BEGINBLAD!A30</f>
        <v>25</v>
      </c>
      <c r="B29" s="264">
        <f>BEGINBLAD!B30</f>
        <v>0</v>
      </c>
    </row>
    <row r="30" spans="1:25" ht="12.75" customHeight="1" x14ac:dyDescent="0.2">
      <c r="A30" s="262">
        <f>BEGINBLAD!A31</f>
        <v>26</v>
      </c>
      <c r="B30" s="264">
        <f>BEGINBLAD!B31</f>
        <v>0</v>
      </c>
    </row>
    <row r="31" spans="1:25" ht="12.75" customHeight="1" x14ac:dyDescent="0.2">
      <c r="A31" s="262">
        <f>BEGINBLAD!A32</f>
        <v>27</v>
      </c>
      <c r="B31" s="264">
        <f>BEGINBLAD!B32</f>
        <v>0</v>
      </c>
    </row>
    <row r="32" spans="1:25" x14ac:dyDescent="0.2">
      <c r="A32" s="262">
        <f>BEGINBLAD!A33</f>
        <v>28</v>
      </c>
      <c r="B32" s="264">
        <f>BEGINBLAD!B33</f>
        <v>0</v>
      </c>
    </row>
    <row r="33" spans="1:12" x14ac:dyDescent="0.2">
      <c r="A33" s="262">
        <f>BEGINBLAD!A34</f>
        <v>29</v>
      </c>
      <c r="B33" s="264">
        <f>BEGINBLAD!B34</f>
        <v>0</v>
      </c>
    </row>
    <row r="34" spans="1:12" x14ac:dyDescent="0.2">
      <c r="A34" s="262">
        <f>BEGINBLAD!A35</f>
        <v>30</v>
      </c>
      <c r="B34" s="264">
        <f>BEGINBLAD!B35</f>
        <v>0</v>
      </c>
    </row>
    <row r="35" spans="1:12" ht="15" x14ac:dyDescent="0.3">
      <c r="A35" s="262">
        <f>BEGINBLAD!A36</f>
        <v>31</v>
      </c>
      <c r="B35" s="264">
        <f>BEGINBLAD!B36</f>
        <v>0</v>
      </c>
      <c r="F35" s="252"/>
      <c r="G35" s="252"/>
      <c r="H35" s="252"/>
      <c r="I35" s="252"/>
    </row>
    <row r="36" spans="1:12" x14ac:dyDescent="0.2">
      <c r="A36" s="262">
        <f>BEGINBLAD!A37</f>
        <v>32</v>
      </c>
      <c r="B36" s="264">
        <f>BEGINBLAD!B37</f>
        <v>0</v>
      </c>
      <c r="F36" s="253"/>
      <c r="G36" s="253"/>
      <c r="H36" s="253"/>
      <c r="I36" s="253"/>
    </row>
    <row r="37" spans="1:12" x14ac:dyDescent="0.2">
      <c r="A37" s="262">
        <f>BEGINBLAD!A38</f>
        <v>33</v>
      </c>
      <c r="B37" s="264">
        <f>BEGINBLAD!B38</f>
        <v>0</v>
      </c>
      <c r="F37" s="254"/>
      <c r="G37" s="254"/>
      <c r="H37" s="254"/>
      <c r="I37" s="254"/>
      <c r="J37" s="254"/>
      <c r="K37" s="254"/>
      <c r="L37" s="254"/>
    </row>
    <row r="38" spans="1:12" x14ac:dyDescent="0.2">
      <c r="A38" s="262">
        <f>BEGINBLAD!A39</f>
        <v>34</v>
      </c>
      <c r="B38" s="264">
        <f>BEGINBLAD!B39</f>
        <v>0</v>
      </c>
    </row>
    <row r="39" spans="1:12" x14ac:dyDescent="0.2">
      <c r="A39" s="262">
        <f>BEGINBLAD!A40</f>
        <v>35</v>
      </c>
      <c r="B39" s="264">
        <f>BEGINBLAD!B40</f>
        <v>0</v>
      </c>
    </row>
    <row r="40" spans="1:12" x14ac:dyDescent="0.2">
      <c r="A40" s="262">
        <f>BEGINBLAD!A41</f>
        <v>36</v>
      </c>
      <c r="B40" s="264">
        <f>BEGINBLAD!B41</f>
        <v>0</v>
      </c>
    </row>
  </sheetData>
  <sheetProtection algorithmName="SHA-512" hashValue="2mSUlFj8f2pY59ysNRqbKuoP4zlPMJvgS3CD/4lPg7O54vs1wveDt0FRn4S4VCIOMO38/jqTADJqtDJgwAjaDg==" saltValue="1O3AmzFWcx0xpC+zQT9HYQ==" spinCount="100000" sheet="1" objects="1" scenarios="1"/>
  <mergeCells count="7">
    <mergeCell ref="M2:N2"/>
    <mergeCell ref="D4:E4"/>
    <mergeCell ref="D2:E2"/>
    <mergeCell ref="G2:H2"/>
    <mergeCell ref="I2:J2"/>
    <mergeCell ref="K2:L2"/>
    <mergeCell ref="G4:R4"/>
  </mergeCells>
  <phoneticPr fontId="3" type="noConversion"/>
  <conditionalFormatting sqref="V6">
    <cfRule type="expression" dxfId="13" priority="1" stopIfTrue="1">
      <formula>$Y$6&gt;=1.3</formula>
    </cfRule>
    <cfRule type="expression" dxfId="12" priority="2" stopIfTrue="1">
      <formula>$Y$6&lt;0.8</formula>
    </cfRule>
    <cfRule type="expression" dxfId="11" priority="3" stopIfTrue="1">
      <formula>$Y$6&lt;1</formula>
    </cfRule>
  </conditionalFormatting>
  <conditionalFormatting sqref="V22 V20 V18 V16 V14 V12 V8 V10">
    <cfRule type="expression" dxfId="10" priority="4" stopIfTrue="1">
      <formula>$Y8&gt;=1.3</formula>
    </cfRule>
    <cfRule type="expression" dxfId="9" priority="5" stopIfTrue="1">
      <formula>$Y8&lt;0.8</formula>
    </cfRule>
    <cfRule type="expression" dxfId="8" priority="6" stopIfTrue="1">
      <formula>$Y8&lt;1</formula>
    </cfRule>
  </conditionalFormatting>
  <conditionalFormatting sqref="Y6:Y22">
    <cfRule type="cellIs" dxfId="7" priority="7" stopIfTrue="1" operator="equal">
      <formula>#VALUE!</formula>
    </cfRule>
  </conditionalFormatting>
  <pageMargins left="0.31" right="0.25" top="1" bottom="1" header="0.5" footer="0.5"/>
  <pageSetup paperSize="9" scale="60" orientation="landscape" horizontalDpi="4294967293" verticalDpi="0" r:id="rId1"/>
  <headerFooter alignWithMargins="0">
    <oddHeader>&amp;C&amp;14Totaal Ontwikkelings Perspectief (TOP)</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pageSetUpPr fitToPage="1"/>
  </sheetPr>
  <dimension ref="A2:Y40"/>
  <sheetViews>
    <sheetView showGridLines="0" showRowColHeaders="0" zoomScale="75" zoomScaleNormal="75" workbookViewId="0">
      <selection activeCell="F5" sqref="F5"/>
    </sheetView>
  </sheetViews>
  <sheetFormatPr defaultRowHeight="12.75" x14ac:dyDescent="0.2"/>
  <cols>
    <col min="1" max="1" width="4.28515625" bestFit="1" customWidth="1"/>
    <col min="2" max="2" width="20.7109375" style="54" customWidth="1"/>
    <col min="3" max="3" width="4" customWidth="1"/>
    <col min="5" max="5" width="18" customWidth="1"/>
    <col min="6" max="6" width="9.42578125" bestFit="1" customWidth="1"/>
    <col min="11" max="11" width="12.28515625" bestFit="1" customWidth="1"/>
    <col min="12" max="12" width="9.42578125" bestFit="1" customWidth="1"/>
    <col min="13" max="13" width="10.5703125" bestFit="1" customWidth="1"/>
    <col min="19" max="19" width="3.7109375" customWidth="1"/>
    <col min="20" max="20" width="5.140625" customWidth="1"/>
    <col min="21" max="24" width="15.7109375" style="1" customWidth="1"/>
    <col min="25" max="25" width="15.7109375" customWidth="1"/>
  </cols>
  <sheetData>
    <row r="2" spans="1:25" ht="21" x14ac:dyDescent="0.4">
      <c r="D2" s="316"/>
      <c r="E2" s="316"/>
      <c r="F2" s="251"/>
      <c r="G2" s="316"/>
      <c r="H2" s="316"/>
      <c r="I2" s="314"/>
      <c r="J2" s="314"/>
      <c r="K2" s="314"/>
      <c r="L2" s="314"/>
      <c r="M2" s="314"/>
      <c r="N2" s="314"/>
    </row>
    <row r="3" spans="1:25" ht="13.5" thickBot="1" x14ac:dyDescent="0.25"/>
    <row r="4" spans="1:25" ht="21.75" thickBot="1" x14ac:dyDescent="0.45">
      <c r="A4" s="41"/>
      <c r="B4" s="263" t="str">
        <f>BEGINBLAD!A5</f>
        <v>namen leerlingen:</v>
      </c>
      <c r="D4" s="352" t="s">
        <v>24</v>
      </c>
      <c r="E4" s="353"/>
      <c r="F4" s="217">
        <v>3</v>
      </c>
      <c r="G4" s="357" t="str">
        <f>VLOOKUP($F$4,BEGINBLAD!A1:B41,2)</f>
        <v>leerling 3</v>
      </c>
      <c r="H4" s="358"/>
      <c r="I4" s="358"/>
      <c r="J4" s="358"/>
      <c r="K4" s="358"/>
      <c r="L4" s="358"/>
      <c r="M4" s="358"/>
      <c r="N4" s="358"/>
      <c r="O4" s="358"/>
      <c r="P4" s="358"/>
      <c r="Q4" s="358"/>
      <c r="R4" s="363"/>
      <c r="U4" s="220" t="s">
        <v>120</v>
      </c>
      <c r="V4" s="232" t="s">
        <v>109</v>
      </c>
      <c r="W4" s="232" t="s">
        <v>121</v>
      </c>
      <c r="X4" s="232" t="s">
        <v>130</v>
      </c>
      <c r="Y4" s="233" t="s">
        <v>108</v>
      </c>
    </row>
    <row r="5" spans="1:25" ht="12.75" customHeight="1" x14ac:dyDescent="0.2">
      <c r="A5" s="262">
        <f>BEGINBLAD!A6</f>
        <v>1</v>
      </c>
      <c r="B5" s="264" t="str">
        <f>BEGINBLAD!B6</f>
        <v>leerling 1</v>
      </c>
    </row>
    <row r="6" spans="1:25" ht="12.75" customHeight="1" x14ac:dyDescent="0.2">
      <c r="A6" s="262">
        <f>BEGINBLAD!A7</f>
        <v>2</v>
      </c>
      <c r="B6" s="264" t="str">
        <f>BEGINBLAD!B7</f>
        <v>leerling 2</v>
      </c>
      <c r="U6" s="268" t="s">
        <v>127</v>
      </c>
      <c r="V6" s="269" t="str">
        <f>VLOOKUP($F$4,'RIO - M4'!$A$17:$AB$52,10)</f>
        <v>B</v>
      </c>
      <c r="W6" s="270">
        <f>VLOOKUP($F$4,'NW - M4'!$B$6:$N$41,12)</f>
        <v>2.4833333333333334</v>
      </c>
      <c r="X6" s="270">
        <f>VLOOKUP($F$4,'RIO - M4'!$A$17:$AB$52,11)</f>
        <v>3.2</v>
      </c>
      <c r="Y6" s="271">
        <f>IF(W6="","",IF(W6&gt;0,W6/X6))</f>
        <v>0.77604166666666663</v>
      </c>
    </row>
    <row r="7" spans="1:25" ht="12.75" customHeight="1" x14ac:dyDescent="0.2">
      <c r="A7" s="262">
        <f>BEGINBLAD!A8</f>
        <v>3</v>
      </c>
      <c r="B7" s="264" t="str">
        <f>BEGINBLAD!B8</f>
        <v>leerling 3</v>
      </c>
      <c r="J7" t="s">
        <v>128</v>
      </c>
      <c r="K7" t="s">
        <v>129</v>
      </c>
      <c r="L7" t="s">
        <v>114</v>
      </c>
      <c r="M7" t="s">
        <v>101</v>
      </c>
      <c r="U7" s="272"/>
      <c r="V7" s="261"/>
      <c r="W7" s="261"/>
      <c r="X7" s="261"/>
      <c r="Y7" s="274" t="str">
        <f t="shared" ref="Y7:Y22" si="0">IF(W7="","",IF(W7&gt;0,W7/X7))</f>
        <v/>
      </c>
    </row>
    <row r="8" spans="1:25" ht="12.75" customHeight="1" x14ac:dyDescent="0.2">
      <c r="A8" s="262">
        <f>BEGINBLAD!A9</f>
        <v>4</v>
      </c>
      <c r="B8" s="264">
        <f>BEGINBLAD!B9</f>
        <v>0</v>
      </c>
      <c r="F8" s="32"/>
      <c r="G8" s="32"/>
      <c r="H8" s="32"/>
      <c r="I8" s="32"/>
      <c r="J8" s="1" t="s">
        <v>127</v>
      </c>
      <c r="K8" s="254">
        <f>Y6*M8</f>
        <v>0.62083333333333335</v>
      </c>
      <c r="L8" s="254">
        <f t="shared" ref="L8:L14" si="1">0.8*M8</f>
        <v>0.64000000000000012</v>
      </c>
      <c r="M8" s="254">
        <f>IF(V6="A",1,IF(V6="B",0.8,IF(V6="C",0.6,IF(V6="D",0.4,IF(V6="E",0.2)))))</f>
        <v>0.8</v>
      </c>
      <c r="U8" s="273" t="s">
        <v>126</v>
      </c>
      <c r="V8" s="265" t="str">
        <f>VLOOKUP($F$4,'RIO - E4'!$A$17:$AB$52,10)</f>
        <v>B</v>
      </c>
      <c r="W8" s="266">
        <f>VLOOKUP($F$4,'NW - E4'!$B$6:$N$41,12)</f>
        <v>2.9</v>
      </c>
      <c r="X8" s="266">
        <f>VLOOKUP($F$4,'RIO - E4'!$A$17:$AB$52,11)</f>
        <v>3.2</v>
      </c>
      <c r="Y8" s="274">
        <f t="shared" si="0"/>
        <v>0.90624999999999989</v>
      </c>
    </row>
    <row r="9" spans="1:25" ht="12.75" customHeight="1" x14ac:dyDescent="0.2">
      <c r="A9" s="262">
        <f>BEGINBLAD!A10</f>
        <v>5</v>
      </c>
      <c r="B9" s="264">
        <f>BEGINBLAD!B10</f>
        <v>0</v>
      </c>
      <c r="F9" s="32"/>
      <c r="G9" s="32"/>
      <c r="H9" s="32"/>
      <c r="I9" s="32"/>
      <c r="J9" s="1" t="s">
        <v>126</v>
      </c>
      <c r="K9" s="254">
        <f>Y8*M9</f>
        <v>0.72499999999999998</v>
      </c>
      <c r="L9" s="254">
        <f t="shared" si="1"/>
        <v>0.64000000000000012</v>
      </c>
      <c r="M9" s="254">
        <f>IF(V8="A",1,IF(V8="B",0.8,IF(V8="C",0.6,IF(V8="D",0.4,IF(V8="E",0.2)))))</f>
        <v>0.8</v>
      </c>
      <c r="U9" s="272"/>
      <c r="V9" s="267"/>
      <c r="W9" s="261"/>
      <c r="X9" s="261"/>
      <c r="Y9" s="274" t="str">
        <f t="shared" si="0"/>
        <v/>
      </c>
    </row>
    <row r="10" spans="1:25" ht="12.75" customHeight="1" x14ac:dyDescent="0.3">
      <c r="A10" s="262">
        <f>BEGINBLAD!A11</f>
        <v>6</v>
      </c>
      <c r="B10" s="264">
        <f>BEGINBLAD!B11</f>
        <v>0</v>
      </c>
      <c r="F10" s="252"/>
      <c r="G10" s="252"/>
      <c r="H10" s="252"/>
      <c r="I10" s="252"/>
      <c r="J10" s="1" t="s">
        <v>125</v>
      </c>
      <c r="K10" s="254">
        <f>Y10*M10</f>
        <v>0.53749999999999998</v>
      </c>
      <c r="L10" s="254">
        <f t="shared" si="1"/>
        <v>0.48</v>
      </c>
      <c r="M10" s="254">
        <f>IF(V10="A",1,IF(V10="B",0.8,IF(V10="C",0.6,IF(V10="D",0.4,IF(V10="E",0.2)))))</f>
        <v>0.6</v>
      </c>
      <c r="U10" s="273" t="s">
        <v>125</v>
      </c>
      <c r="V10" s="265" t="str">
        <f>VLOOKUP($F$4,'RIO - M5'!$A$17:$AB$52,10)</f>
        <v>C</v>
      </c>
      <c r="W10" s="266">
        <f>VLOOKUP($F$4,'NW - M5'!$B$6:$N$41,12)</f>
        <v>2.15</v>
      </c>
      <c r="X10" s="266">
        <f>VLOOKUP($F$4,'RIO - M5'!$A$17:$AB$52,11)</f>
        <v>2.4</v>
      </c>
      <c r="Y10" s="274">
        <f t="shared" si="0"/>
        <v>0.89583333333333337</v>
      </c>
    </row>
    <row r="11" spans="1:25" ht="12.75" customHeight="1" x14ac:dyDescent="0.2">
      <c r="A11" s="262">
        <f>BEGINBLAD!A12</f>
        <v>7</v>
      </c>
      <c r="B11" s="264">
        <f>BEGINBLAD!B12</f>
        <v>0</v>
      </c>
      <c r="F11" s="253"/>
      <c r="G11" s="253"/>
      <c r="H11" s="253"/>
      <c r="I11" s="253"/>
      <c r="J11" s="1" t="s">
        <v>124</v>
      </c>
      <c r="K11" s="254">
        <f>Y12*M11</f>
        <v>0.65</v>
      </c>
      <c r="L11" s="254">
        <f t="shared" si="1"/>
        <v>0.48</v>
      </c>
      <c r="M11" s="254">
        <f>IF(V12="A",1,IF(V12="B",0.8,IF(V12="C",0.6,IF(V12="D",0.4,IF(V12="E",0.2)))))</f>
        <v>0.6</v>
      </c>
      <c r="U11" s="272"/>
      <c r="V11" s="267"/>
      <c r="W11" s="261"/>
      <c r="X11" s="261"/>
      <c r="Y11" s="274" t="str">
        <f t="shared" si="0"/>
        <v/>
      </c>
    </row>
    <row r="12" spans="1:25" ht="12.75" customHeight="1" x14ac:dyDescent="0.2">
      <c r="A12" s="262">
        <f>BEGINBLAD!A13</f>
        <v>8</v>
      </c>
      <c r="B12" s="264">
        <f>BEGINBLAD!B13</f>
        <v>0</v>
      </c>
      <c r="F12" s="254"/>
      <c r="G12" s="254"/>
      <c r="H12" s="254"/>
      <c r="I12" s="254"/>
      <c r="J12" s="1" t="s">
        <v>123</v>
      </c>
      <c r="K12" s="254">
        <f>Y14*M12</f>
        <v>0.5625</v>
      </c>
      <c r="L12" s="254">
        <f t="shared" si="1"/>
        <v>0.48</v>
      </c>
      <c r="M12" s="254">
        <f>IF(V14="A",1,IF(V14="B",0.8,IF(V14="C",0.6,IF(V14="D",0.4,IF(V14="E",0.2)))))</f>
        <v>0.6</v>
      </c>
      <c r="U12" s="273" t="s">
        <v>124</v>
      </c>
      <c r="V12" s="265" t="str">
        <f>VLOOKUP($F$4,'RIO - E5'!$A$17:$AB$52,10)</f>
        <v>C</v>
      </c>
      <c r="W12" s="266">
        <f>VLOOKUP($F$4,'NW - E5'!$B$6:$N$41,12)</f>
        <v>2.6</v>
      </c>
      <c r="X12" s="266">
        <f>VLOOKUP($F$4,'RIO - E5'!$A$17:$AB$52,11)</f>
        <v>2.4</v>
      </c>
      <c r="Y12" s="274">
        <f t="shared" si="0"/>
        <v>1.0833333333333335</v>
      </c>
    </row>
    <row r="13" spans="1:25" ht="12.75" customHeight="1" x14ac:dyDescent="0.2">
      <c r="A13" s="262">
        <f>BEGINBLAD!A14</f>
        <v>9</v>
      </c>
      <c r="B13" s="264">
        <f>BEGINBLAD!B14</f>
        <v>0</v>
      </c>
      <c r="F13" s="36"/>
      <c r="G13" s="36"/>
      <c r="H13" s="36"/>
      <c r="I13" s="36"/>
      <c r="J13" s="1" t="s">
        <v>122</v>
      </c>
      <c r="K13" s="254" t="e">
        <f>Y16*M13</f>
        <v>#VALUE!</v>
      </c>
      <c r="L13" s="254">
        <f t="shared" si="1"/>
        <v>0.48</v>
      </c>
      <c r="M13" s="254">
        <f>IF(V16="A",1,IF(V16="B",0.8,IF(V16="C",0.6,IF(V16="D",0.4,IF(V16="E",0.2)))))</f>
        <v>0.6</v>
      </c>
      <c r="U13" s="272"/>
      <c r="V13" s="267"/>
      <c r="W13" s="261"/>
      <c r="X13" s="261"/>
      <c r="Y13" s="274" t="str">
        <f t="shared" si="0"/>
        <v/>
      </c>
    </row>
    <row r="14" spans="1:25" ht="12.75" customHeight="1" x14ac:dyDescent="0.3">
      <c r="A14" s="262">
        <f>BEGINBLAD!A15</f>
        <v>10</v>
      </c>
      <c r="B14" s="264">
        <f>BEGINBLAD!B15</f>
        <v>0</v>
      </c>
      <c r="D14" s="2"/>
      <c r="F14" s="32"/>
      <c r="G14" s="32"/>
      <c r="H14" s="32"/>
      <c r="I14" s="32"/>
      <c r="J14" s="1" t="s">
        <v>119</v>
      </c>
      <c r="K14" s="254" t="e">
        <f>Y18*M14</f>
        <v>#VALUE!</v>
      </c>
      <c r="L14" s="254">
        <f t="shared" si="1"/>
        <v>0.48</v>
      </c>
      <c r="M14" s="254">
        <f>IF(V18="A",1,IF(V18="B",0.8,IF(V18="C",0.6,IF(V18="D",0.4,IF(V18="E",0.2)))))</f>
        <v>0.6</v>
      </c>
      <c r="U14" s="273" t="s">
        <v>123</v>
      </c>
      <c r="V14" s="265" t="str">
        <f>VLOOKUP($F$4,'RIO - M6'!$A$17:$AB$52,10)</f>
        <v>C</v>
      </c>
      <c r="W14" s="266">
        <f>VLOOKUP($F$4,'NW - M6'!$B$6:$N$41,12)</f>
        <v>2.25</v>
      </c>
      <c r="X14" s="266">
        <f>VLOOKUP($F$4,'RIO - M6'!$A$17:$AB$52,11)</f>
        <v>2.4</v>
      </c>
      <c r="Y14" s="274">
        <f t="shared" si="0"/>
        <v>0.9375</v>
      </c>
    </row>
    <row r="15" spans="1:25" ht="12.75" customHeight="1" x14ac:dyDescent="0.3">
      <c r="A15" s="262">
        <f>BEGINBLAD!A16</f>
        <v>11</v>
      </c>
      <c r="B15" s="264">
        <f>BEGINBLAD!B16</f>
        <v>0</v>
      </c>
      <c r="J15" s="252" t="s">
        <v>118</v>
      </c>
      <c r="K15" s="254" t="e">
        <f>Y20*M15</f>
        <v>#VALUE!</v>
      </c>
      <c r="L15" s="254">
        <f>0.8*M15</f>
        <v>0.48</v>
      </c>
      <c r="M15" s="254">
        <f>IF(V20="A",1,IF(V20="B",0.8,IF(V20="C",0.6,IF(V20="D",0.4,IF(V20="E",0.2)))))</f>
        <v>0.6</v>
      </c>
      <c r="U15" s="272"/>
      <c r="V15" s="267"/>
      <c r="W15" s="261"/>
      <c r="X15" s="261"/>
      <c r="Y15" s="274" t="str">
        <f t="shared" si="0"/>
        <v/>
      </c>
    </row>
    <row r="16" spans="1:25" ht="12.75" customHeight="1" x14ac:dyDescent="0.2">
      <c r="A16" s="262">
        <f>BEGINBLAD!A17</f>
        <v>12</v>
      </c>
      <c r="B16" s="264">
        <f>BEGINBLAD!B17</f>
        <v>0</v>
      </c>
      <c r="H16" s="1"/>
      <c r="I16" s="1"/>
      <c r="J16" s="253" t="s">
        <v>117</v>
      </c>
      <c r="K16" s="254" t="e">
        <f>Y22*M16</f>
        <v>#VALUE!</v>
      </c>
      <c r="L16" s="254">
        <f>0.8*M16</f>
        <v>0.48</v>
      </c>
      <c r="M16" s="254">
        <f>IF(V22="A",1,IF(V22="B",0.8,IF(V22="C",0.6,IF(V22="D",0.4,IF(V22="E",0.2)))))</f>
        <v>0.6</v>
      </c>
      <c r="U16" s="273" t="s">
        <v>122</v>
      </c>
      <c r="V16" s="265" t="str">
        <f>VLOOKUP($F$4,'RIO - E6'!$A$17:$AB$52,10)</f>
        <v>C</v>
      </c>
      <c r="W16" s="266" t="str">
        <f>VLOOKUP($F$4,'NW - E6'!$B$6:$N$41,12)</f>
        <v/>
      </c>
      <c r="X16" s="266">
        <f>VLOOKUP($F$4,'RIO - E6'!$A$17:$AB$52,11)</f>
        <v>2.4</v>
      </c>
      <c r="Y16" s="274" t="str">
        <f t="shared" si="0"/>
        <v/>
      </c>
    </row>
    <row r="17" spans="1:25" ht="12.75" customHeight="1" x14ac:dyDescent="0.4">
      <c r="A17" s="262">
        <f>BEGINBLAD!A18</f>
        <v>13</v>
      </c>
      <c r="B17" s="264">
        <f>BEGINBLAD!B18</f>
        <v>0</v>
      </c>
      <c r="H17" s="256"/>
      <c r="I17" s="257"/>
      <c r="J17" s="255"/>
      <c r="K17" s="255"/>
      <c r="L17" s="258"/>
      <c r="U17" s="272"/>
      <c r="V17" s="267"/>
      <c r="W17" s="261"/>
      <c r="X17" s="261"/>
      <c r="Y17" s="274" t="str">
        <f t="shared" si="0"/>
        <v/>
      </c>
    </row>
    <row r="18" spans="1:25" ht="12.75" customHeight="1" x14ac:dyDescent="0.4">
      <c r="A18" s="262">
        <f>BEGINBLAD!A19</f>
        <v>14</v>
      </c>
      <c r="B18" s="264">
        <f>BEGINBLAD!B19</f>
        <v>0</v>
      </c>
      <c r="H18" s="256"/>
      <c r="I18" s="257"/>
      <c r="J18" s="255"/>
      <c r="K18" s="255"/>
      <c r="L18" s="258"/>
      <c r="U18" s="273" t="s">
        <v>119</v>
      </c>
      <c r="V18" s="265" t="str">
        <f>VLOOKUP($F$4,'RIO - M7'!$A$17:$AB$52,10)</f>
        <v>C</v>
      </c>
      <c r="W18" s="266" t="str">
        <f>VLOOKUP($F$4,'NW - M7'!$B$6:$N$41,12)</f>
        <v/>
      </c>
      <c r="X18" s="266">
        <f>VLOOKUP($F$4,'RIO - M7'!$A$17:$AB$52,11)</f>
        <v>2.4</v>
      </c>
      <c r="Y18" s="274" t="str">
        <f t="shared" si="0"/>
        <v/>
      </c>
    </row>
    <row r="19" spans="1:25" ht="12.75" customHeight="1" x14ac:dyDescent="0.4">
      <c r="A19" s="262">
        <f>BEGINBLAD!A20</f>
        <v>15</v>
      </c>
      <c r="B19" s="264">
        <f>BEGINBLAD!B20</f>
        <v>0</v>
      </c>
      <c r="H19" s="256"/>
      <c r="I19" s="257"/>
      <c r="J19" s="255"/>
      <c r="K19" s="255"/>
      <c r="L19" s="258"/>
      <c r="U19" s="272"/>
      <c r="V19" s="267"/>
      <c r="W19" s="261"/>
      <c r="X19" s="261"/>
      <c r="Y19" s="274" t="str">
        <f t="shared" si="0"/>
        <v/>
      </c>
    </row>
    <row r="20" spans="1:25" ht="12.75" customHeight="1" x14ac:dyDescent="0.2">
      <c r="A20" s="262">
        <f>BEGINBLAD!A21</f>
        <v>16</v>
      </c>
      <c r="B20" s="264">
        <f>BEGINBLAD!B21</f>
        <v>0</v>
      </c>
      <c r="H20" s="259"/>
      <c r="I20" s="259"/>
      <c r="J20" s="259"/>
      <c r="K20" s="259"/>
      <c r="L20" s="259"/>
      <c r="U20" s="273" t="s">
        <v>118</v>
      </c>
      <c r="V20" s="265" t="str">
        <f>VLOOKUP($F$4,'RIO - E7'!$A$17:$AB$52,10)</f>
        <v>C</v>
      </c>
      <c r="W20" s="266" t="str">
        <f>VLOOKUP($F$4,'NW - E7'!$B$6:$N$41,12)</f>
        <v/>
      </c>
      <c r="X20" s="266">
        <f>VLOOKUP($F$4,'RIO - E7'!$A$17:$AB$52,11)</f>
        <v>2.4</v>
      </c>
      <c r="Y20" s="274" t="str">
        <f t="shared" si="0"/>
        <v/>
      </c>
    </row>
    <row r="21" spans="1:25" ht="12.75" customHeight="1" x14ac:dyDescent="0.2">
      <c r="A21" s="262">
        <f>BEGINBLAD!A22</f>
        <v>17</v>
      </c>
      <c r="B21" s="264">
        <f>BEGINBLAD!B22</f>
        <v>0</v>
      </c>
      <c r="U21" s="272"/>
      <c r="V21" s="267"/>
      <c r="W21" s="261"/>
      <c r="X21" s="261"/>
      <c r="Y21" s="274" t="str">
        <f t="shared" si="0"/>
        <v/>
      </c>
    </row>
    <row r="22" spans="1:25" ht="12.75" customHeight="1" x14ac:dyDescent="0.2">
      <c r="A22" s="262">
        <f>BEGINBLAD!A23</f>
        <v>18</v>
      </c>
      <c r="B22" s="264">
        <f>BEGINBLAD!B23</f>
        <v>0</v>
      </c>
      <c r="U22" s="275" t="s">
        <v>117</v>
      </c>
      <c r="V22" s="276" t="str">
        <f>VLOOKUP($F$4,'RIO - M8'!$A$17:$AB$52,10)</f>
        <v>C</v>
      </c>
      <c r="W22" s="277" t="str">
        <f>VLOOKUP($F$4,'NW - M8'!$B$6:$N$41,12)</f>
        <v/>
      </c>
      <c r="X22" s="277">
        <f>VLOOKUP($F$4,'RIO - M8'!$A$17:$AB$52,11)</f>
        <v>2.4</v>
      </c>
      <c r="Y22" s="278" t="str">
        <f t="shared" si="0"/>
        <v/>
      </c>
    </row>
    <row r="23" spans="1:25" ht="12.75" customHeight="1" x14ac:dyDescent="0.2">
      <c r="A23" s="262">
        <f>BEGINBLAD!A24</f>
        <v>19</v>
      </c>
      <c r="B23" s="264">
        <f>BEGINBLAD!B24</f>
        <v>0</v>
      </c>
    </row>
    <row r="24" spans="1:25" ht="12.75" customHeight="1" x14ac:dyDescent="0.4">
      <c r="A24" s="262">
        <f>BEGINBLAD!A25</f>
        <v>20</v>
      </c>
      <c r="B24" s="264">
        <f>BEGINBLAD!B25</f>
        <v>0</v>
      </c>
      <c r="U24" s="260"/>
    </row>
    <row r="25" spans="1:25" ht="12.75" customHeight="1" x14ac:dyDescent="0.4">
      <c r="A25" s="262">
        <f>BEGINBLAD!A26</f>
        <v>21</v>
      </c>
      <c r="B25" s="264">
        <f>BEGINBLAD!B26</f>
        <v>0</v>
      </c>
      <c r="U25" s="260"/>
    </row>
    <row r="26" spans="1:25" ht="12.75" customHeight="1" x14ac:dyDescent="0.4">
      <c r="A26" s="262">
        <f>BEGINBLAD!A27</f>
        <v>22</v>
      </c>
      <c r="B26" s="264">
        <f>BEGINBLAD!B27</f>
        <v>0</v>
      </c>
      <c r="U26" s="260"/>
    </row>
    <row r="27" spans="1:25" ht="12.75" customHeight="1" x14ac:dyDescent="0.2">
      <c r="A27" s="262">
        <f>BEGINBLAD!A28</f>
        <v>23</v>
      </c>
      <c r="B27" s="264">
        <f>BEGINBLAD!B28</f>
        <v>0</v>
      </c>
    </row>
    <row r="28" spans="1:25" ht="12.75" customHeight="1" x14ac:dyDescent="0.2">
      <c r="A28" s="262">
        <f>BEGINBLAD!A29</f>
        <v>24</v>
      </c>
      <c r="B28" s="264">
        <f>BEGINBLAD!B29</f>
        <v>0</v>
      </c>
    </row>
    <row r="29" spans="1:25" ht="12.75" customHeight="1" x14ac:dyDescent="0.2">
      <c r="A29" s="262">
        <f>BEGINBLAD!A30</f>
        <v>25</v>
      </c>
      <c r="B29" s="264">
        <f>BEGINBLAD!B30</f>
        <v>0</v>
      </c>
    </row>
    <row r="30" spans="1:25" ht="12.75" customHeight="1" x14ac:dyDescent="0.2">
      <c r="A30" s="262">
        <f>BEGINBLAD!A31</f>
        <v>26</v>
      </c>
      <c r="B30" s="264">
        <f>BEGINBLAD!B31</f>
        <v>0</v>
      </c>
    </row>
    <row r="31" spans="1:25" ht="12.75" customHeight="1" x14ac:dyDescent="0.2">
      <c r="A31" s="262">
        <f>BEGINBLAD!A32</f>
        <v>27</v>
      </c>
      <c r="B31" s="264">
        <f>BEGINBLAD!B32</f>
        <v>0</v>
      </c>
    </row>
    <row r="32" spans="1:25" x14ac:dyDescent="0.2">
      <c r="A32" s="262">
        <f>BEGINBLAD!A33</f>
        <v>28</v>
      </c>
      <c r="B32" s="264">
        <f>BEGINBLAD!B33</f>
        <v>0</v>
      </c>
    </row>
    <row r="33" spans="1:12" x14ac:dyDescent="0.2">
      <c r="A33" s="262">
        <f>BEGINBLAD!A34</f>
        <v>29</v>
      </c>
      <c r="B33" s="264">
        <f>BEGINBLAD!B34</f>
        <v>0</v>
      </c>
    </row>
    <row r="34" spans="1:12" x14ac:dyDescent="0.2">
      <c r="A34" s="262">
        <f>BEGINBLAD!A35</f>
        <v>30</v>
      </c>
      <c r="B34" s="264">
        <f>BEGINBLAD!B35</f>
        <v>0</v>
      </c>
    </row>
    <row r="35" spans="1:12" ht="15" x14ac:dyDescent="0.3">
      <c r="A35" s="262">
        <f>BEGINBLAD!A36</f>
        <v>31</v>
      </c>
      <c r="B35" s="264">
        <f>BEGINBLAD!B36</f>
        <v>0</v>
      </c>
      <c r="F35" s="252"/>
      <c r="G35" s="252"/>
      <c r="H35" s="252"/>
      <c r="I35" s="252"/>
    </row>
    <row r="36" spans="1:12" x14ac:dyDescent="0.2">
      <c r="A36" s="262">
        <f>BEGINBLAD!A37</f>
        <v>32</v>
      </c>
      <c r="B36" s="264">
        <f>BEGINBLAD!B37</f>
        <v>0</v>
      </c>
      <c r="F36" s="253"/>
      <c r="G36" s="253"/>
      <c r="H36" s="253"/>
      <c r="I36" s="253"/>
    </row>
    <row r="37" spans="1:12" x14ac:dyDescent="0.2">
      <c r="A37" s="262">
        <f>BEGINBLAD!A38</f>
        <v>33</v>
      </c>
      <c r="B37" s="264">
        <f>BEGINBLAD!B38</f>
        <v>0</v>
      </c>
      <c r="F37" s="254"/>
      <c r="G37" s="254"/>
      <c r="H37" s="254"/>
      <c r="I37" s="254"/>
      <c r="J37" s="254"/>
      <c r="K37" s="254"/>
      <c r="L37" s="254"/>
    </row>
    <row r="38" spans="1:12" x14ac:dyDescent="0.2">
      <c r="A38" s="262">
        <f>BEGINBLAD!A39</f>
        <v>34</v>
      </c>
      <c r="B38" s="264">
        <f>BEGINBLAD!B39</f>
        <v>0</v>
      </c>
    </row>
    <row r="39" spans="1:12" x14ac:dyDescent="0.2">
      <c r="A39" s="262">
        <f>BEGINBLAD!A40</f>
        <v>35</v>
      </c>
      <c r="B39" s="264">
        <f>BEGINBLAD!B40</f>
        <v>0</v>
      </c>
    </row>
    <row r="40" spans="1:12" x14ac:dyDescent="0.2">
      <c r="A40" s="262">
        <f>BEGINBLAD!A41</f>
        <v>36</v>
      </c>
      <c r="B40" s="264">
        <f>BEGINBLAD!B41</f>
        <v>0</v>
      </c>
    </row>
  </sheetData>
  <sheetProtection algorithmName="SHA-512" hashValue="LgKL0AytBtXJGTDb/xWJS0+JlmOeLP4cRtpfyByI9htEuFoVpVwZxA9nWldp3TaoJXXdGQVie2pJvKp4xfXRZA==" saltValue="0ODbN1Q7i35kn1DCSd6faw==" spinCount="100000" sheet="1" objects="1" scenarios="1"/>
  <mergeCells count="7">
    <mergeCell ref="D4:E4"/>
    <mergeCell ref="G4:R4"/>
    <mergeCell ref="D2:E2"/>
    <mergeCell ref="G2:H2"/>
    <mergeCell ref="I2:J2"/>
    <mergeCell ref="K2:L2"/>
    <mergeCell ref="M2:N2"/>
  </mergeCells>
  <conditionalFormatting sqref="V6">
    <cfRule type="expression" dxfId="6" priority="1" stopIfTrue="1">
      <formula>$Y$6&gt;=1.3</formula>
    </cfRule>
    <cfRule type="expression" dxfId="5" priority="2" stopIfTrue="1">
      <formula>$Y$6&lt;0.8</formula>
    </cfRule>
    <cfRule type="expression" dxfId="4" priority="3" stopIfTrue="1">
      <formula>$Y$6&lt;1</formula>
    </cfRule>
  </conditionalFormatting>
  <conditionalFormatting sqref="V22 V20 V18 V16 V14 V12 V8 V10">
    <cfRule type="expression" dxfId="3" priority="4" stopIfTrue="1">
      <formula>$Y8&gt;=1.3</formula>
    </cfRule>
    <cfRule type="expression" dxfId="2" priority="5" stopIfTrue="1">
      <formula>$Y8&lt;0.8</formula>
    </cfRule>
    <cfRule type="expression" dxfId="1" priority="6" stopIfTrue="1">
      <formula>$Y8&lt;1</formula>
    </cfRule>
  </conditionalFormatting>
  <conditionalFormatting sqref="Y6:Y22">
    <cfRule type="cellIs" dxfId="0" priority="7" stopIfTrue="1" operator="equal">
      <formula>#VALUE!</formula>
    </cfRule>
  </conditionalFormatting>
  <pageMargins left="0.31" right="0.25" top="1" bottom="1" header="0.5" footer="0.5"/>
  <pageSetup paperSize="9" scale="60" orientation="landscape" horizontalDpi="4294967293" verticalDpi="0" r:id="rId1"/>
  <headerFooter alignWithMargins="0">
    <oddHeader>&amp;C&amp;14Totaal Ontwikkelings Perspectief (TOP)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V39"/>
  <sheetViews>
    <sheetView showGridLines="0" showRowColHeaders="0" zoomScale="75" zoomScaleNormal="75" workbookViewId="0">
      <selection activeCell="F4" sqref="F4"/>
    </sheetView>
  </sheetViews>
  <sheetFormatPr defaultRowHeight="12.75" x14ac:dyDescent="0.2"/>
  <cols>
    <col min="1" max="1" width="4.28515625" bestFit="1" customWidth="1"/>
    <col min="2" max="2" width="20.7109375" style="33" customWidth="1"/>
    <col min="3" max="3" width="4" customWidth="1"/>
    <col min="5" max="5" width="18" customWidth="1"/>
    <col min="6" max="10" width="12.28515625" bestFit="1" customWidth="1"/>
    <col min="11" max="11" width="9.42578125" bestFit="1" customWidth="1"/>
    <col min="12" max="12" width="10.5703125" bestFit="1" customWidth="1"/>
    <col min="19" max="19" width="18.140625" style="1" bestFit="1" customWidth="1"/>
    <col min="20" max="20" width="12.85546875" style="1" customWidth="1"/>
    <col min="21" max="21" width="18.5703125" style="1" bestFit="1" customWidth="1"/>
    <col min="22" max="22" width="15.7109375" style="1" bestFit="1" customWidth="1"/>
  </cols>
  <sheetData>
    <row r="1" spans="1:22" ht="13.5" thickBot="1" x14ac:dyDescent="0.25"/>
    <row r="2" spans="1:22" ht="21.75" thickBot="1" x14ac:dyDescent="0.45">
      <c r="A2" s="41"/>
      <c r="B2" s="42" t="str">
        <f>BEGINBLAD!A5</f>
        <v>namen leerlingen:</v>
      </c>
      <c r="D2" s="354" t="s">
        <v>7</v>
      </c>
      <c r="E2" s="317"/>
      <c r="F2" s="311">
        <f>'NW - M4'!$D$2</f>
        <v>4</v>
      </c>
      <c r="G2" s="355" t="str">
        <f>VLOOKUP($F$4,BEGINBLAD!A1:C41,2)</f>
        <v>leerling 3</v>
      </c>
      <c r="H2" s="355"/>
      <c r="I2" s="355"/>
      <c r="J2" s="355"/>
      <c r="K2" s="355"/>
      <c r="L2" s="355"/>
      <c r="M2" s="355"/>
      <c r="N2" s="356"/>
      <c r="S2" s="220" t="s">
        <v>106</v>
      </c>
      <c r="T2" s="232" t="s">
        <v>55</v>
      </c>
      <c r="U2" s="232" t="s">
        <v>107</v>
      </c>
      <c r="V2" s="233" t="s">
        <v>108</v>
      </c>
    </row>
    <row r="3" spans="1:22" ht="13.5" thickBot="1" x14ac:dyDescent="0.25">
      <c r="A3" s="37">
        <f>BEGINBLAD!A6</f>
        <v>1</v>
      </c>
      <c r="B3" s="38" t="str">
        <f>BEGINBLAD!B6</f>
        <v>leerling 1</v>
      </c>
    </row>
    <row r="4" spans="1:22" ht="21.75" thickBot="1" x14ac:dyDescent="0.45">
      <c r="A4" s="37">
        <f>BEGINBLAD!A7</f>
        <v>2</v>
      </c>
      <c r="B4" s="38" t="str">
        <f>BEGINBLAD!B7</f>
        <v>leerling 2</v>
      </c>
      <c r="D4" s="352" t="s">
        <v>24</v>
      </c>
      <c r="E4" s="353"/>
      <c r="F4" s="217">
        <v>3</v>
      </c>
      <c r="G4" s="357" t="s">
        <v>145</v>
      </c>
      <c r="H4" s="358"/>
      <c r="I4" s="359">
        <f>VLOOKUP($F$4,BEGINBLAD!A6:C41,3)</f>
        <v>38495</v>
      </c>
      <c r="J4" s="359"/>
      <c r="K4" s="359"/>
      <c r="L4" s="359"/>
      <c r="M4" s="359"/>
      <c r="N4" s="360"/>
      <c r="S4" s="220" t="s">
        <v>109</v>
      </c>
      <c r="T4" s="224" t="str">
        <f>VLOOKUP($F$4,'RIO - M4'!$A$17:$AB$52,10)</f>
        <v>B</v>
      </c>
      <c r="U4" s="231">
        <f>VLOOKUP($F$4,'RIO - M4'!$A$17:$AB$52,11)</f>
        <v>3.2</v>
      </c>
      <c r="V4" s="230">
        <v>1</v>
      </c>
    </row>
    <row r="5" spans="1:22" x14ac:dyDescent="0.2">
      <c r="A5" s="37">
        <f>BEGINBLAD!A8</f>
        <v>3</v>
      </c>
      <c r="B5" s="38" t="str">
        <f>BEGINBLAD!B8</f>
        <v>leerling 3</v>
      </c>
    </row>
    <row r="6" spans="1:22" ht="15" x14ac:dyDescent="0.3">
      <c r="A6" s="37">
        <f>BEGINBLAD!A9</f>
        <v>4</v>
      </c>
      <c r="B6" s="38">
        <f>BEGINBLAD!B9</f>
        <v>0</v>
      </c>
      <c r="S6" s="239" t="s">
        <v>8</v>
      </c>
      <c r="T6" s="246" t="str">
        <f>VLOOKUP($F$4,'RIO - M4'!$A$17:$AB$52,15)</f>
        <v>C</v>
      </c>
      <c r="U6" s="240">
        <f>VLOOKUP($F$4,'RIO - M4'!$A$17:$AB$52,16)</f>
        <v>2.5</v>
      </c>
      <c r="V6" s="241">
        <f>VLOOKUP($F$4,'RIO - M4'!$A$17:$AB$52,17)</f>
        <v>0.78125</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t="str">
        <f>VLOOKUP($F$4,'RIO - M4'!$A$17:$AB$52,18)</f>
        <v>B</v>
      </c>
      <c r="U8" s="227">
        <f>VLOOKUP($F$4,'RIO - M4'!$A$17:$AB$52,19)</f>
        <v>3.1</v>
      </c>
      <c r="V8" s="225">
        <f>VLOOKUP($F$4,'RIO - M4'!$A$17:$AB$52,20)</f>
        <v>0.96875</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f>VLOOKUP($F$4,'RIO - M4'!$A$17:$AB$52,17)</f>
        <v>0.78125</v>
      </c>
      <c r="G10" s="219">
        <f>VLOOKUP($F$4,'RIO - M4'!$A$17:$AB$52,20)</f>
        <v>0.96875</v>
      </c>
      <c r="H10" s="219">
        <f>VLOOKUP($F$4,'RIO - M4'!$A$17:$AB$52,23)</f>
        <v>0.87499999999999989</v>
      </c>
      <c r="I10" s="219">
        <f>VLOOKUP($F$4,'RIO - M4'!$A$17:$AB$52,26)</f>
        <v>1.09375</v>
      </c>
      <c r="J10" s="219">
        <f>VLOOKUP($F$4,'RIO - M4'!$A$17:$AC$52,29)</f>
        <v>0.3125</v>
      </c>
      <c r="K10" s="219" t="str">
        <f>VLOOKUP($F$4,'RIO - M4'!$A$17:$AB$52,10)</f>
        <v>B</v>
      </c>
      <c r="L10" s="32"/>
      <c r="M10" s="32"/>
      <c r="S10" s="221" t="s">
        <v>10</v>
      </c>
      <c r="T10" s="247" t="str">
        <f>VLOOKUP($F$4,'RIO - M4'!$A$17:$AB$52,21)</f>
        <v>C</v>
      </c>
      <c r="U10" s="227">
        <f>VLOOKUP($F$4,'RIO - M4'!$A$17:$AB$52,22)</f>
        <v>2.8</v>
      </c>
      <c r="V10" s="225">
        <f>VLOOKUP($F$4,'RIO - M4'!$A$17:$AB$52,23)</f>
        <v>0.87499999999999989</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f>F10*L12</f>
        <v>0.625</v>
      </c>
      <c r="G12" s="218">
        <f>G10*L12</f>
        <v>0.77500000000000002</v>
      </c>
      <c r="H12" s="218">
        <f>H10*L12</f>
        <v>0.7</v>
      </c>
      <c r="I12" s="218">
        <f>I10*L12</f>
        <v>0.875</v>
      </c>
      <c r="J12" s="218">
        <f>J10*L12</f>
        <v>0.25</v>
      </c>
      <c r="K12" s="218">
        <f>0.8*L12</f>
        <v>0.64000000000000012</v>
      </c>
      <c r="L12" s="218">
        <f>IF(K10="A",1,IF(K10="B",0.8,IF(K10="C",0.6,IF(K10="D",0.4,IF(K10="E",0.2)))))</f>
        <v>0.8</v>
      </c>
      <c r="S12" s="221" t="s">
        <v>11</v>
      </c>
      <c r="T12" s="247" t="str">
        <f>VLOOKUP($F$4,'RIO - M4'!$A$17:$AB$52,24)</f>
        <v>B</v>
      </c>
      <c r="U12" s="227">
        <f>VLOOKUP($F$4,'RIO - M4'!$A$17:$AB$52,25)</f>
        <v>3.5</v>
      </c>
      <c r="V12" s="225">
        <f>VLOOKUP($F$4,'RIO - M4'!$A$17:$AB$52,26)</f>
        <v>1.09375</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t="str">
        <f>VLOOKUP($F$4,'RIO - M4'!$A$17:$AC$52,27)</f>
        <v>D</v>
      </c>
      <c r="U14" s="229">
        <f>VLOOKUP($F$4,'RIO - M4'!$A$17:$AC$52,28)</f>
        <v>1</v>
      </c>
      <c r="V14" s="226">
        <f>VLOOKUP($F$4,'RIO - M4'!$A$17:$AC$52,29)</f>
        <v>0.3125</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C</v>
      </c>
      <c r="U16" s="234">
        <f>AVERAGE(U6:U14)</f>
        <v>2.5799999999999996</v>
      </c>
      <c r="V16" s="235">
        <f>VLOOKUP($F$4,'RIO - M4'!$A$17:$AC$52,14)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f>(U4/8)*10</f>
        <v>4</v>
      </c>
    </row>
    <row r="20" spans="1:21" x14ac:dyDescent="0.2">
      <c r="A20" s="37">
        <f>BEGINBLAD!A23</f>
        <v>18</v>
      </c>
      <c r="B20" s="38">
        <f>BEGINBLAD!B23</f>
        <v>0</v>
      </c>
      <c r="U20" s="5">
        <f>U4*0.8</f>
        <v>2.5600000000000005</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1XNxYNYlF+Oa8T1WsQB2kzdHAfn6fwrBWAq4buAKq6CSxFyO0ojzYNknI23l/eW4hkZP2jz+/ePZvv/04JI+Zw==" saltValue="GvmwsnQtBDJ/WlUnLKloSA==" spinCount="100000" sheet="1" objects="1" scenarios="1"/>
  <mergeCells count="5">
    <mergeCell ref="D4:E4"/>
    <mergeCell ref="D2:E2"/>
    <mergeCell ref="G2:N2"/>
    <mergeCell ref="G4:H4"/>
    <mergeCell ref="I4:N4"/>
  </mergeCells>
  <phoneticPr fontId="3" type="noConversion"/>
  <conditionalFormatting sqref="V6:V14">
    <cfRule type="cellIs" dxfId="983" priority="1" stopIfTrue="1" operator="between">
      <formula>0.001</formula>
      <formula>0.8</formula>
    </cfRule>
    <cfRule type="cellIs" dxfId="982" priority="2" stopIfTrue="1" operator="greaterThanOrEqual">
      <formula>1.3</formula>
    </cfRule>
    <cfRule type="cellIs" dxfId="981" priority="3" stopIfTrue="1" operator="greaterThanOrEqual">
      <formula>1</formula>
    </cfRule>
  </conditionalFormatting>
  <conditionalFormatting sqref="V16">
    <cfRule type="cellIs" dxfId="980" priority="4" stopIfTrue="1" operator="equal">
      <formula>0</formula>
    </cfRule>
  </conditionalFormatting>
  <conditionalFormatting sqref="T6">
    <cfRule type="expression" dxfId="979" priority="5" stopIfTrue="1">
      <formula>$V$6&gt;=1.3</formula>
    </cfRule>
    <cfRule type="expression" dxfId="978" priority="6" stopIfTrue="1">
      <formula>$V$6&lt;0.8</formula>
    </cfRule>
    <cfRule type="expression" dxfId="977" priority="7" stopIfTrue="1">
      <formula>$V$6&lt;1</formula>
    </cfRule>
  </conditionalFormatting>
  <conditionalFormatting sqref="T8">
    <cfRule type="expression" dxfId="976" priority="8" stopIfTrue="1">
      <formula>$V$8&gt;=1.3</formula>
    </cfRule>
    <cfRule type="expression" dxfId="975" priority="9" stopIfTrue="1">
      <formula>$V$8&lt;0.8</formula>
    </cfRule>
    <cfRule type="expression" dxfId="974" priority="10" stopIfTrue="1">
      <formula>$V$8&lt;1</formula>
    </cfRule>
  </conditionalFormatting>
  <conditionalFormatting sqref="T10">
    <cfRule type="expression" dxfId="973" priority="11" stopIfTrue="1">
      <formula>$V$10&gt;=1.3</formula>
    </cfRule>
    <cfRule type="expression" dxfId="972" priority="12" stopIfTrue="1">
      <formula>$V$10&lt;0.8</formula>
    </cfRule>
    <cfRule type="expression" dxfId="971" priority="13" stopIfTrue="1">
      <formula>$V$10&lt;1</formula>
    </cfRule>
  </conditionalFormatting>
  <conditionalFormatting sqref="T12">
    <cfRule type="expression" dxfId="970" priority="14" stopIfTrue="1">
      <formula>$V$12&gt;=1.3</formula>
    </cfRule>
    <cfRule type="expression" dxfId="969" priority="15" stopIfTrue="1">
      <formula>$V$12&lt;0.8</formula>
    </cfRule>
    <cfRule type="expression" dxfId="968" priority="16" stopIfTrue="1">
      <formula>$V$12&lt;1</formula>
    </cfRule>
  </conditionalFormatting>
  <conditionalFormatting sqref="T14">
    <cfRule type="expression" dxfId="967" priority="17" stopIfTrue="1">
      <formula>$V$14&gt;=1.3</formula>
    </cfRule>
    <cfRule type="expression" dxfId="966" priority="18" stopIfTrue="1">
      <formula>$V$14&lt;0.8</formula>
    </cfRule>
    <cfRule type="expression" dxfId="965" priority="19" stopIfTrue="1">
      <formula>$V$14&lt;1</formula>
    </cfRule>
  </conditionalFormatting>
  <conditionalFormatting sqref="T16">
    <cfRule type="expression" dxfId="964" priority="20" stopIfTrue="1">
      <formula>$U$16&gt;=$U$19</formula>
    </cfRule>
    <cfRule type="expression" dxfId="963" priority="21" stopIfTrue="1">
      <formula>$U$16&lt;$U$20</formula>
    </cfRule>
    <cfRule type="expression" dxfId="962" priority="22" stopIfTrue="1">
      <formula>$T$16&lt;$U$4</formula>
    </cfRule>
  </conditionalFormatting>
  <pageMargins left="0.41" right="0.25" top="1" bottom="1" header="0.5" footer="0.5"/>
  <pageSetup paperSize="9" scale="62" orientation="landscape" horizontalDpi="4294967293" verticalDpi="0" r:id="rId1"/>
  <headerFooter alignWithMargins="0">
    <oddHeader>&amp;C&amp;14Ontwikkelings Perspectief (OP)</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B1:P44"/>
  <sheetViews>
    <sheetView showGridLines="0" showRowColHeaders="0" zoomScale="85" zoomScaleNormal="85" workbookViewId="0">
      <selection activeCell="D6" sqref="D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4</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t="str">
        <f>BEGINBLAD!B6</f>
        <v>leerling 1</v>
      </c>
      <c r="D6" s="152"/>
      <c r="E6" s="153"/>
      <c r="F6" s="153"/>
      <c r="G6" s="153"/>
      <c r="H6" s="153"/>
      <c r="I6" s="162"/>
      <c r="J6" s="43">
        <f t="shared" ref="J6:J41" si="0">SUM(D6:I6)</f>
        <v>0</v>
      </c>
      <c r="K6" s="166">
        <f t="shared" ref="K6:K41" si="1">COUNTA(D6:I6)</f>
        <v>0</v>
      </c>
      <c r="L6" s="165"/>
      <c r="M6" s="156" t="str">
        <f t="shared" ref="M6:M41" si="2">IF(K6=0,"",IF(K6&gt;0,J6/K6))</f>
        <v/>
      </c>
      <c r="N6" s="157" t="str">
        <f t="shared" ref="N6:N41" si="3">IF(M6="","",IF(M6&gt;=4.5,"A+",IF(M6&gt;=4,"A",IF(M6&gt;=3,"B",IF(M6&gt;2.3,"C",IF(M6&gt;=2,"C-",IF(M6&gt;=1,"D",IF(M6&gt;0,"E"))))))))</f>
        <v/>
      </c>
      <c r="O6" s="24"/>
      <c r="P6" s="20"/>
    </row>
    <row r="7" spans="2:16" ht="19.5" customHeight="1" x14ac:dyDescent="0.2">
      <c r="B7" s="39">
        <v>2</v>
      </c>
      <c r="C7" s="27" t="str">
        <f>BEGINBLAD!B7</f>
        <v>leerling 2</v>
      </c>
      <c r="D7" s="152">
        <v>0.7</v>
      </c>
      <c r="E7" s="153">
        <v>1.5</v>
      </c>
      <c r="F7" s="153">
        <v>3.2</v>
      </c>
      <c r="G7" s="153">
        <v>2.4</v>
      </c>
      <c r="H7" s="153">
        <v>3.3</v>
      </c>
      <c r="I7" s="162">
        <v>4.3</v>
      </c>
      <c r="J7" s="43">
        <f t="shared" si="0"/>
        <v>15.400000000000002</v>
      </c>
      <c r="K7" s="166">
        <f t="shared" si="1"/>
        <v>6</v>
      </c>
      <c r="L7" s="165"/>
      <c r="M7" s="156">
        <f t="shared" si="2"/>
        <v>2.5666666666666669</v>
      </c>
      <c r="N7" s="157" t="str">
        <f t="shared" si="3"/>
        <v>C</v>
      </c>
      <c r="O7" s="19"/>
      <c r="P7" s="20"/>
    </row>
    <row r="8" spans="2:16" s="10" customFormat="1" ht="19.5" customHeight="1" x14ac:dyDescent="0.2">
      <c r="B8" s="39">
        <v>3</v>
      </c>
      <c r="C8" s="27" t="str">
        <f>BEGINBLAD!B8</f>
        <v>leerling 3</v>
      </c>
      <c r="D8" s="152">
        <v>2.2999999999999998</v>
      </c>
      <c r="E8" s="153">
        <v>3.7</v>
      </c>
      <c r="F8" s="153">
        <v>2.9</v>
      </c>
      <c r="G8" s="153">
        <v>2.4</v>
      </c>
      <c r="H8" s="153">
        <v>3.1</v>
      </c>
      <c r="I8" s="162">
        <v>3</v>
      </c>
      <c r="J8" s="43">
        <f t="shared" si="0"/>
        <v>17.399999999999999</v>
      </c>
      <c r="K8" s="166">
        <f t="shared" si="1"/>
        <v>6</v>
      </c>
      <c r="L8" s="165"/>
      <c r="M8" s="156">
        <f t="shared" si="2"/>
        <v>2.9</v>
      </c>
      <c r="N8" s="157" t="str">
        <f t="shared" si="3"/>
        <v>C</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f t="shared" ref="D42:K42" si="4">AVERAGE(D6:D41)</f>
        <v>1.5</v>
      </c>
      <c r="E42" s="169">
        <f t="shared" si="4"/>
        <v>2.6</v>
      </c>
      <c r="F42" s="169">
        <f t="shared" si="4"/>
        <v>3.05</v>
      </c>
      <c r="G42" s="169">
        <f t="shared" si="4"/>
        <v>2.4</v>
      </c>
      <c r="H42" s="169">
        <f t="shared" si="4"/>
        <v>3.2</v>
      </c>
      <c r="I42" s="169">
        <f t="shared" si="4"/>
        <v>3.65</v>
      </c>
      <c r="J42" s="169">
        <f t="shared" si="4"/>
        <v>0.91111111111111098</v>
      </c>
      <c r="K42" s="169">
        <f t="shared" si="4"/>
        <v>0.33333333333333331</v>
      </c>
      <c r="L42" s="170"/>
      <c r="M42" s="169">
        <f>AVERAGE(M6:M41)</f>
        <v>2.7333333333333334</v>
      </c>
    </row>
    <row r="43" spans="2:16" ht="19.5" customHeight="1" x14ac:dyDescent="0.2">
      <c r="C43" s="168" t="s">
        <v>91</v>
      </c>
      <c r="D43" s="171" t="str">
        <f t="shared" ref="D43:M43" si="5">IF(D42="","",IF(D42&gt;=4.5,"A+",IF(D42&gt;=4,"A",IF(D42&gt;=3,"B",IF(D42&gt;2.3,"C",IF(D42&gt;=2,"C-",IF(D42&gt;=1,"D",IF(D42&gt;0,"E"))))))))</f>
        <v>D</v>
      </c>
      <c r="E43" s="171" t="str">
        <f t="shared" si="5"/>
        <v>C</v>
      </c>
      <c r="F43" s="171" t="str">
        <f t="shared" si="5"/>
        <v>B</v>
      </c>
      <c r="G43" s="171" t="str">
        <f t="shared" si="5"/>
        <v>C</v>
      </c>
      <c r="H43" s="171" t="str">
        <f t="shared" si="5"/>
        <v>B</v>
      </c>
      <c r="I43" s="171" t="str">
        <f t="shared" si="5"/>
        <v>B</v>
      </c>
      <c r="J43" s="171" t="str">
        <f t="shared" si="5"/>
        <v>E</v>
      </c>
      <c r="K43" s="171" t="str">
        <f t="shared" si="5"/>
        <v>E</v>
      </c>
      <c r="L43" s="172" t="str">
        <f t="shared" si="5"/>
        <v/>
      </c>
      <c r="M43" s="171" t="str">
        <f t="shared" si="5"/>
        <v>C</v>
      </c>
    </row>
    <row r="44" spans="2:16" x14ac:dyDescent="0.2">
      <c r="C44" s="11">
        <f>BEGINBLAD!$B$42</f>
        <v>3</v>
      </c>
    </row>
  </sheetData>
  <sheetProtection algorithmName="SHA-512" hashValue="pvA/xsvRnxaYmhWXEK3DEsoV5vqWmbP/VgH6iNCMQ4MVI7YcQ+RX+qluWV7+Ew5zhEDJJ2Zfig/PC7d3ZSUIVA==" saltValue="W7408DVJNv8xJct3frAs9A==" spinCount="100000" sheet="1"/>
  <mergeCells count="5">
    <mergeCell ref="B2:C2"/>
    <mergeCell ref="E2:F2"/>
    <mergeCell ref="M2:N2"/>
    <mergeCell ref="G2:H2"/>
    <mergeCell ref="I2:L2"/>
  </mergeCells>
  <phoneticPr fontId="3" type="noConversion"/>
  <conditionalFormatting sqref="C6:C41">
    <cfRule type="expression" dxfId="961" priority="1" stopIfTrue="1">
      <formula>$N6=""</formula>
    </cfRule>
    <cfRule type="expression" dxfId="960" priority="2" stopIfTrue="1">
      <formula>$N6="A+"</formula>
    </cfRule>
  </conditionalFormatting>
  <conditionalFormatting sqref="N6:N41 D43:M43">
    <cfRule type="cellIs" dxfId="959" priority="3" stopIfTrue="1" operator="between">
      <formula>"D"</formula>
      <formula>"E"</formula>
    </cfRule>
    <cfRule type="cellIs" dxfId="958" priority="4" stopIfTrue="1" operator="between">
      <formula>"B"</formula>
      <formula>"B+"</formula>
    </cfRule>
    <cfRule type="cellIs" dxfId="957" priority="5" stopIfTrue="1" operator="between">
      <formula>"A"</formula>
      <formula>"A+"</formula>
    </cfRule>
  </conditionalFormatting>
  <conditionalFormatting sqref="D6:I41">
    <cfRule type="cellIs" dxfId="956" priority="6" stopIfTrue="1" operator="between">
      <formula>0.1</formula>
      <formula>1.9</formula>
    </cfRule>
    <cfRule type="cellIs" dxfId="955" priority="7" stopIfTrue="1" operator="between">
      <formula>3</formula>
      <formula>3.9</formula>
    </cfRule>
    <cfRule type="cellIs" dxfId="954" priority="8" stopIfTrue="1" operator="between">
      <formula>4</formula>
      <formula>5</formula>
    </cfRule>
  </conditionalFormatting>
  <conditionalFormatting sqref="M6:M41 D42:M42">
    <cfRule type="cellIs" dxfId="953" priority="9" stopIfTrue="1" operator="between">
      <formula>0.001</formula>
      <formula>1.999</formula>
    </cfRule>
    <cfRule type="cellIs" dxfId="952" priority="10" stopIfTrue="1" operator="between">
      <formula>3</formula>
      <formula>3.999</formula>
    </cfRule>
    <cfRule type="cellIs" dxfId="951"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0"/>
  </sheetPr>
  <dimension ref="A1:BG72"/>
  <sheetViews>
    <sheetView showGridLines="0" showRowColHeaders="0" zoomScale="85" zoomScaleNormal="85" workbookViewId="0">
      <selection activeCell="AY35" sqref="AY35"/>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29">
        <f>'NW - E4'!$D$2</f>
        <v>4</v>
      </c>
      <c r="K1" s="331"/>
      <c r="L1" s="244"/>
      <c r="M1" s="32"/>
      <c r="N1" s="323" t="s">
        <v>23</v>
      </c>
      <c r="O1" s="323"/>
      <c r="P1" s="214"/>
      <c r="Q1" s="214"/>
      <c r="U1" s="5" t="b">
        <f>IF($J$1=3,"ja",IF($J$1="3A","ja",IF($J$1="3B","ja",IF($J$1="3C","ja"))))</f>
        <v>0</v>
      </c>
      <c r="X1" s="5" t="str">
        <f>IF($J$1=4,"ja",IF($J$1="4A","ja",IF($J$1="4B","ja",IF($J$1="4C","ja"))))</f>
        <v>ja</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0"/>
      <c r="K2" s="322"/>
      <c r="L2" s="245"/>
      <c r="M2" s="32"/>
      <c r="N2" s="324" t="s">
        <v>30</v>
      </c>
      <c r="O2" s="324"/>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25"/>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7"/>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4" t="s">
        <v>35</v>
      </c>
      <c r="P9" s="345"/>
      <c r="Q9" s="345"/>
      <c r="R9" s="345"/>
      <c r="S9" s="345"/>
      <c r="T9" s="345"/>
      <c r="U9" s="345"/>
      <c r="V9" s="345"/>
      <c r="W9" s="346"/>
      <c r="X9" s="344" t="s">
        <v>36</v>
      </c>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199"/>
      <c r="AW9" s="328" t="s">
        <v>113</v>
      </c>
      <c r="AX9" s="328"/>
      <c r="AY9" s="328"/>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t="str">
        <f>BEGINBLAD!B6</f>
        <v>leerling 1</v>
      </c>
      <c r="C17" s="110" t="str">
        <f>IF('RIO - M4'!C17="","",IF('RIO - M4'!C17&gt;"",'RIO - M4'!C17))</f>
        <v>C</v>
      </c>
      <c r="D17" s="149" t="str">
        <f>IF('NW - E4'!N6="","",IF('NW - E4'!N6="A+","A",IF('NW - E4'!N6="A","A",IF('NW - E4'!N6="B","B",IF('NW - E4'!N6="C","C",IF('NW - E4'!N6="C-","C",IF('NW - E4'!N6="D","D",IF('NW - E4'!N6="E","E"))))))))</f>
        <v/>
      </c>
      <c r="E17" s="110"/>
      <c r="F17" s="192">
        <f t="shared" ref="F17:F52" si="0">IF(C17="","",IF(C17="A",5,IF(C17="B",4,IF(C17="C",3,IF(C17="D",2,IF(C17="E",1))))))</f>
        <v>3</v>
      </c>
      <c r="G17" s="192" t="str">
        <f t="shared" ref="G17:G52" si="1">IF(D17="","",IF(D17="A",5,IF(D17="B",4,IF(D17="C",3,IF(D17="D",2,IF(D17="E",1))))))</f>
        <v/>
      </c>
      <c r="H17" s="191" t="str">
        <f t="shared" ref="H17:H52" si="2">IF(E17="","",IF(E17="A",5,IF(E17="B",4,IF(E17="C",3,IF(E17="D",2,IF(E17="E",1))))))</f>
        <v/>
      </c>
      <c r="I17" s="193">
        <f t="shared" ref="I17:I52" si="3">IF(F17="",H17,IF(H17="",F17,IF(F17&gt;H17,F17,IF(F17&lt;H17,H17,IF(F17=H17,F17)))))</f>
        <v>3</v>
      </c>
      <c r="J17" s="208" t="str">
        <f t="shared" ref="J17:J52" si="4">IF(I17="","",IF(I17=5,"A",IF(I17=4,"B",IF(I17=3,"C",IF(I17=2,"D",IF(I17=1,"E"))))))</f>
        <v>C</v>
      </c>
      <c r="K17" s="210">
        <f t="shared" ref="K17:K52" si="5">IF(I17="","",IF(I17=5,4,IF(I17=4,3.2,IF(I17=3,2.4,IF(I17=2,1.6,IF(I17=1,0.8))))))</f>
        <v>2.4</v>
      </c>
      <c r="L17" s="188"/>
      <c r="M17" s="104"/>
      <c r="N17" s="105"/>
      <c r="O17" s="250">
        <f t="shared" ref="O17:O52" si="6">IF(P17=0,0,IF(P17&gt;=4,"A",IF(P17&gt;=3,"B",IF(P17&gt;2.3,"C",IF(P17&gt;=1,"D",IF(P17&gt;0,"E"))))))</f>
        <v>0</v>
      </c>
      <c r="P17" s="249">
        <f>IF('NW - E4'!D6=0,0,IF('NW - E4'!D6&gt;=0,'NW - E4'!D6))</f>
        <v>0</v>
      </c>
      <c r="Q17" s="206" t="str">
        <f t="shared" ref="Q17:Q52" si="7">IF(K17="","",IF(P17=0,"",IF(P17&gt;0,P17/K17)))</f>
        <v/>
      </c>
      <c r="R17" s="250">
        <f t="shared" ref="R17:R52" si="8">IF(S17=0,0,IF(S17&gt;=4,"A",IF(S17&gt;=3,"B",IF(S17&gt;2.3,"C",IF(S17&gt;=1,"D",IF(S17&gt;0,"E"))))))</f>
        <v>0</v>
      </c>
      <c r="S17" s="249">
        <f>IF('NW - E4'!F6=0,0,IF('NW - E4'!F6&gt;=0,'NW - E4'!F6))</f>
        <v>0</v>
      </c>
      <c r="T17" s="206" t="str">
        <f t="shared" ref="T17:T52" si="9">IF(K17="","",IF(S17=0,"",IF(S17&gt;0,S17/K17)))</f>
        <v/>
      </c>
      <c r="U17" s="250">
        <f t="shared" ref="U17:U52" si="10">IF(V17=0,0,IF(V17&gt;=4,"A",IF(V17&gt;=3,"B",IF(V17&gt;2.3,"C",IF(V17&gt;=1,"D",IF(V17&gt;0,"E"))))))</f>
        <v>0</v>
      </c>
      <c r="V17" s="249">
        <f>IF('NW - E4'!E6=0,0,IF('NW - E4'!E6&gt;=0,'NW - E4'!E6))</f>
        <v>0</v>
      </c>
      <c r="W17" s="206" t="str">
        <f t="shared" ref="W17:W52" si="11">IF(K17="","",IF(V17=0,"",IF(V17&gt;0,V17/K17)))</f>
        <v/>
      </c>
      <c r="X17" s="250">
        <f t="shared" ref="X17:X52" si="12">IF(Y17=0,0,IF(Y17&gt;=4,"A",IF(Y17&gt;=3,"B",IF(Y17&gt;2.3,"C",IF(Y17&gt;=1,"D",IF(Y17&gt;0,"E"))))))</f>
        <v>0</v>
      </c>
      <c r="Y17" s="249">
        <f>IF('NW - E4'!I6=0,0,IF('NW - E4'!I6&gt;=0,'NW - E4'!I6))</f>
        <v>0</v>
      </c>
      <c r="Z17" s="206" t="str">
        <f t="shared" ref="Z17:Z52" si="13">IF(K17="","",IF(Y17=0,"",IF(Y17&gt;0,Y17/K17)))</f>
        <v/>
      </c>
      <c r="AA17" s="250">
        <f t="shared" ref="AA17:AA52" si="14">IF(AB17=0,0,IF(AB17&gt;=4,"A",IF(AB17&gt;=3,"B",IF(AB17&gt;2.3,"C",IF(AB17&gt;=1,"D",IF(AB17&gt;0,"E"))))))</f>
        <v>0</v>
      </c>
      <c r="AB17" s="249">
        <f>IF('NW - E4'!H6=0,0,IF('NW - E4'!H6&gt;=0,'NW - E4'!H6))</f>
        <v>0</v>
      </c>
      <c r="AC17" s="206" t="str">
        <f t="shared" ref="AC17:AC52" si="15">IF(K17="","",IF(AB17=0,"",IF(AB17&gt;0,AB17/K17)))</f>
        <v/>
      </c>
      <c r="AD17" s="1" t="str">
        <f>IF($J17="","",IF(O17=0,"",IF(Q17&lt;0.8,"",IF(Q17&gt;=0.8,1))))</f>
        <v/>
      </c>
      <c r="AE17" s="1" t="str">
        <f t="shared" ref="AE17:AE52" si="16">IF($J17="","",IF(R17=0,"",IF(T17&lt;0.8,"",IF(T17&gt;=0.8,1))))</f>
        <v/>
      </c>
      <c r="AF17" s="1" t="str">
        <f t="shared" ref="AF17:AF52" si="17">IF($J17="","",IF(U17=0,"",IF(W17&lt;0.8,"",IF(W17&gt;=0.8,1))))</f>
        <v/>
      </c>
      <c r="AG17" s="1" t="str">
        <f t="shared" ref="AG17:AG52" si="18">IF($J17="","",IF(X17=0,"",IF(Z17&lt;0.8,"",IF(Z17&gt;=0.8,1))))</f>
        <v/>
      </c>
      <c r="AH17" s="1" t="str">
        <f t="shared" ref="AH17:AH52" si="19">IF($J17="","",IF(AA17=0,"",IF(AC17&lt;0.8,"",IF(AC17&gt;=0.8,1))))</f>
        <v/>
      </c>
      <c r="AI17" s="1">
        <f t="shared" ref="AI17:AI52" si="20">SUM(AD17:AH17)</f>
        <v>0</v>
      </c>
      <c r="AJ17" s="106" t="b">
        <f t="shared" ref="AJ17:AJ52" si="21">IF($J17="A",$AV17)</f>
        <v>0</v>
      </c>
      <c r="AK17" s="106" t="b">
        <f t="shared" ref="AK17:AK52" si="22">IF($J17="B",$AV17)</f>
        <v>0</v>
      </c>
      <c r="AL17" s="106">
        <f t="shared" ref="AL17:AL52" si="23">IF($J17="C",$AV17)</f>
        <v>0</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f t="shared" ref="AT17:AT52" si="30">IF(J17="","",IF(J17&gt;0,COUNT(O17+R17+U17+X17+AA17)))</f>
        <v>1</v>
      </c>
      <c r="AU17" s="198">
        <f t="shared" ref="AU17:AU52" si="31">5-AT17</f>
        <v>4</v>
      </c>
      <c r="AV17" s="204">
        <f t="shared" ref="AV17:AV52" si="32">IF(AT17="","",IF(AU17=0,"",IF(AU17&gt;0,AI17/AU17)))</f>
        <v>0</v>
      </c>
      <c r="AW17" s="107" t="str">
        <f t="shared" ref="AW17:AW52" si="33">IF(M17="","",IF(M17="x",1))</f>
        <v/>
      </c>
      <c r="AX17" s="108"/>
      <c r="AY17" s="109" t="str">
        <f t="shared" ref="AY17:AY52" si="34">IF(L17="","",IF(L17="X",AV17))</f>
        <v/>
      </c>
      <c r="AZ17" s="110"/>
      <c r="BA17" s="111" t="str">
        <f t="shared" ref="BA17:BA52" si="35">IF(N17="","",IF(N17="pro",1,IF(N17="lwoo",2,IF(N17="vmbo-b",3,IF(N17="vmbo-k",4,IF(N17="vmbo-g",5,IF(N17="vmbo-t",6,IF(N17="havo",7))))))))</f>
        <v/>
      </c>
      <c r="BB17" s="112"/>
      <c r="BC17" s="113" t="str">
        <f t="shared" ref="BC17:BC52" si="36">IF(BB17="","",IF(BB17="pro",1,IF(BB17="lwoo",2,IF(BB17="vmbo-b",3,IF(BB17="vmbo-k",4,IF(BB17="vmbo-g",5,IF(BB17="vmbo-t",6,IF(BB17="havo",7))))))))</f>
        <v/>
      </c>
      <c r="BD17" s="114">
        <f t="shared" ref="BD17:BD52" si="37">IF(BC17="",0,IF(BC17&lt;BA17,0,IF(BC17&gt;=BA17,1)))</f>
        <v>0</v>
      </c>
      <c r="BE17" s="115"/>
      <c r="BF17" s="113" t="str">
        <f t="shared" ref="BF17:BF52" si="38">IF(BE17="","",IF(BE17="pro",1,IF(BE17="lwoo",2,IF(BE17="vmbo-b",3,IF(BE17="vmbo-k",4,IF(BE17="vmbo-g",5,IF(BE17="vmbo-t",6,IF(BE17="havo",7))))))))</f>
        <v/>
      </c>
      <c r="BG17" s="116">
        <f t="shared" ref="BG17:BG52" si="39">IF(BF17="",0,IF(BF17&lt;BC17,0,IF(BF17&gt;=BC17,1)))</f>
        <v>0</v>
      </c>
    </row>
    <row r="18" spans="1:59" ht="15" customHeight="1" x14ac:dyDescent="0.2">
      <c r="A18">
        <v>2</v>
      </c>
      <c r="B18" s="186" t="str">
        <f>BEGINBLAD!B7</f>
        <v>leerling 2</v>
      </c>
      <c r="C18" s="110" t="str">
        <f>IF('RIO - M4'!C18="","",IF('RIO - M4'!C18&gt;"",'RIO - M4'!C18))</f>
        <v>C</v>
      </c>
      <c r="D18" s="149" t="str">
        <f>IF('NW - E4'!N7="","",IF('NW - E4'!N7="A+","A",IF('NW - E4'!N7="A","A",IF('NW - E4'!N7="B","B",IF('NW - E4'!N7="C","C",IF('NW - E4'!N7="C-","C",IF('NW - E4'!N7="D","D",IF('NW - E4'!N7="E","E"))))))))</f>
        <v>C</v>
      </c>
      <c r="E18" s="110"/>
      <c r="F18" s="192">
        <f t="shared" si="0"/>
        <v>3</v>
      </c>
      <c r="G18" s="192">
        <f t="shared" si="1"/>
        <v>3</v>
      </c>
      <c r="H18" s="191" t="str">
        <f t="shared" si="2"/>
        <v/>
      </c>
      <c r="I18" s="193">
        <f t="shared" si="3"/>
        <v>3</v>
      </c>
      <c r="J18" s="208" t="str">
        <f t="shared" si="4"/>
        <v>C</v>
      </c>
      <c r="K18" s="210">
        <f t="shared" si="5"/>
        <v>2.4</v>
      </c>
      <c r="L18" s="189"/>
      <c r="M18" s="110"/>
      <c r="N18" s="117"/>
      <c r="O18" s="250" t="str">
        <f t="shared" si="6"/>
        <v>E</v>
      </c>
      <c r="P18" s="249">
        <f>IF('NW - E4'!D7=0,0,IF('NW - E4'!D7&gt;=0,'NW - E4'!D7))</f>
        <v>0.7</v>
      </c>
      <c r="Q18" s="206">
        <f t="shared" si="7"/>
        <v>0.29166666666666669</v>
      </c>
      <c r="R18" s="250" t="str">
        <f t="shared" si="8"/>
        <v>B</v>
      </c>
      <c r="S18" s="249">
        <f>IF('NW - E4'!F7=0,0,IF('NW - E4'!F7&gt;=0,'NW - E4'!F7))</f>
        <v>3.2</v>
      </c>
      <c r="T18" s="206">
        <f t="shared" si="9"/>
        <v>1.3333333333333335</v>
      </c>
      <c r="U18" s="250" t="str">
        <f t="shared" si="10"/>
        <v>D</v>
      </c>
      <c r="V18" s="249">
        <f>IF('NW - E4'!E7=0,0,IF('NW - E4'!E7&gt;=0,'NW - E4'!E7))</f>
        <v>1.5</v>
      </c>
      <c r="W18" s="206">
        <f t="shared" si="11"/>
        <v>0.625</v>
      </c>
      <c r="X18" s="250" t="str">
        <f t="shared" si="12"/>
        <v>A</v>
      </c>
      <c r="Y18" s="249">
        <f>IF('NW - E4'!I7=0,0,IF('NW - E4'!I7&gt;=0,'NW - E4'!I7))</f>
        <v>4.3</v>
      </c>
      <c r="Z18" s="206">
        <f t="shared" si="13"/>
        <v>1.7916666666666667</v>
      </c>
      <c r="AA18" s="250" t="str">
        <f t="shared" si="14"/>
        <v>B</v>
      </c>
      <c r="AB18" s="249">
        <f>IF('NW - E4'!H7=0,0,IF('NW - E4'!H7&gt;=0,'NW - E4'!H7))</f>
        <v>3.3</v>
      </c>
      <c r="AC18" s="206">
        <f t="shared" si="15"/>
        <v>1.375</v>
      </c>
      <c r="AD18" s="1" t="str">
        <f t="shared" ref="AD18:AD52" si="40">IF(J18="","",IF(O18=0,"",IF(Q18&lt;0.8,"",IF(Q18&gt;=0.8,1))))</f>
        <v/>
      </c>
      <c r="AE18" s="1">
        <f t="shared" si="16"/>
        <v>1</v>
      </c>
      <c r="AF18" s="1" t="str">
        <f t="shared" si="17"/>
        <v/>
      </c>
      <c r="AG18" s="1">
        <f t="shared" si="18"/>
        <v>1</v>
      </c>
      <c r="AH18" s="1">
        <f t="shared" si="19"/>
        <v>1</v>
      </c>
      <c r="AI18" s="1">
        <f t="shared" si="20"/>
        <v>3</v>
      </c>
      <c r="AJ18" s="106" t="b">
        <f t="shared" si="21"/>
        <v>0</v>
      </c>
      <c r="AK18" s="106" t="b">
        <f t="shared" si="22"/>
        <v>0</v>
      </c>
      <c r="AL18" s="106">
        <f t="shared" si="23"/>
        <v>0.6</v>
      </c>
      <c r="AM18" s="106" t="b">
        <f t="shared" si="24"/>
        <v>0</v>
      </c>
      <c r="AN18" s="106" t="b">
        <f t="shared" si="25"/>
        <v>0</v>
      </c>
      <c r="AO18" s="106" t="b">
        <f t="shared" ref="AO18:AO52" si="41">IF($J18="1",$AV18)</f>
        <v>0</v>
      </c>
      <c r="AP18" s="106" t="b">
        <f t="shared" si="26"/>
        <v>0</v>
      </c>
      <c r="AQ18" s="106" t="b">
        <f t="shared" si="27"/>
        <v>0</v>
      </c>
      <c r="AR18" s="106" t="b">
        <f t="shared" si="28"/>
        <v>0</v>
      </c>
      <c r="AS18" s="106" t="b">
        <f t="shared" si="29"/>
        <v>0</v>
      </c>
      <c r="AT18" s="148">
        <f t="shared" si="30"/>
        <v>0</v>
      </c>
      <c r="AU18" s="198">
        <f t="shared" si="31"/>
        <v>5</v>
      </c>
      <c r="AV18" s="204">
        <f t="shared" si="32"/>
        <v>0.6</v>
      </c>
      <c r="AW18" s="107" t="str">
        <f t="shared" si="33"/>
        <v/>
      </c>
      <c r="AX18" s="108"/>
      <c r="AY18" s="109" t="str">
        <f t="shared" si="34"/>
        <v/>
      </c>
      <c r="AZ18" s="110"/>
      <c r="BA18" s="111" t="str">
        <f t="shared" si="35"/>
        <v/>
      </c>
      <c r="BB18" s="112"/>
      <c r="BC18" s="113" t="str">
        <f t="shared" si="36"/>
        <v/>
      </c>
      <c r="BD18" s="114">
        <f t="shared" si="37"/>
        <v>0</v>
      </c>
      <c r="BE18" s="118"/>
      <c r="BF18" s="113" t="str">
        <f t="shared" si="38"/>
        <v/>
      </c>
      <c r="BG18" s="116">
        <f t="shared" si="39"/>
        <v>0</v>
      </c>
    </row>
    <row r="19" spans="1:59" ht="15" customHeight="1" x14ac:dyDescent="0.2">
      <c r="A19">
        <v>3</v>
      </c>
      <c r="B19" s="186" t="str">
        <f>BEGINBLAD!B8</f>
        <v>leerling 3</v>
      </c>
      <c r="C19" s="110" t="str">
        <f>IF('RIO - M4'!C19="","",IF('RIO - M4'!C19&gt;"",'RIO - M4'!C19))</f>
        <v>B</v>
      </c>
      <c r="D19" s="149" t="str">
        <f>IF('NW - E4'!N8="","",IF('NW - E4'!N8="A+","A",IF('NW - E4'!N8="A","A",IF('NW - E4'!N8="B","B",IF('NW - E4'!N8="C","C",IF('NW - E4'!N8="C-","C",IF('NW - E4'!N8="D","D",IF('NW - E4'!N8="E","E"))))))))</f>
        <v>C</v>
      </c>
      <c r="E19" s="110"/>
      <c r="F19" s="192">
        <f t="shared" si="0"/>
        <v>4</v>
      </c>
      <c r="G19" s="192">
        <f t="shared" si="1"/>
        <v>3</v>
      </c>
      <c r="H19" s="191" t="str">
        <f t="shared" si="2"/>
        <v/>
      </c>
      <c r="I19" s="193">
        <f t="shared" si="3"/>
        <v>4</v>
      </c>
      <c r="J19" s="208" t="str">
        <f t="shared" si="4"/>
        <v>B</v>
      </c>
      <c r="K19" s="210">
        <f t="shared" si="5"/>
        <v>3.2</v>
      </c>
      <c r="L19" s="189"/>
      <c r="M19" s="110"/>
      <c r="N19" s="117"/>
      <c r="O19" s="250" t="str">
        <f t="shared" si="6"/>
        <v>D</v>
      </c>
      <c r="P19" s="249">
        <f>IF('NW - E4'!D8=0,0,IF('NW - E4'!D8&gt;=0,'NW - E4'!D8))</f>
        <v>2.2999999999999998</v>
      </c>
      <c r="Q19" s="206">
        <f t="shared" si="7"/>
        <v>0.71874999999999989</v>
      </c>
      <c r="R19" s="250" t="str">
        <f t="shared" si="8"/>
        <v>C</v>
      </c>
      <c r="S19" s="249">
        <f>IF('NW - E4'!F8=0,0,IF('NW - E4'!F8&gt;=0,'NW - E4'!F8))</f>
        <v>2.9</v>
      </c>
      <c r="T19" s="206">
        <f t="shared" si="9"/>
        <v>0.90624999999999989</v>
      </c>
      <c r="U19" s="250" t="str">
        <f t="shared" si="10"/>
        <v>B</v>
      </c>
      <c r="V19" s="249">
        <f>IF('NW - E4'!E8=0,0,IF('NW - E4'!E8&gt;=0,'NW - E4'!E8))</f>
        <v>3.7</v>
      </c>
      <c r="W19" s="206">
        <f t="shared" si="11"/>
        <v>1.15625</v>
      </c>
      <c r="X19" s="250" t="str">
        <f t="shared" si="12"/>
        <v>B</v>
      </c>
      <c r="Y19" s="249">
        <f>IF('NW - E4'!I8=0,0,IF('NW - E4'!I8&gt;=0,'NW - E4'!I8))</f>
        <v>3</v>
      </c>
      <c r="Z19" s="206">
        <f t="shared" si="13"/>
        <v>0.9375</v>
      </c>
      <c r="AA19" s="250" t="str">
        <f t="shared" si="14"/>
        <v>B</v>
      </c>
      <c r="AB19" s="249">
        <f>IF('NW - E4'!H8=0,0,IF('NW - E4'!H8&gt;=0,'NW - E4'!H8))</f>
        <v>3.1</v>
      </c>
      <c r="AC19" s="206">
        <f t="shared" si="15"/>
        <v>0.96875</v>
      </c>
      <c r="AD19" s="1" t="str">
        <f t="shared" si="40"/>
        <v/>
      </c>
      <c r="AE19" s="1">
        <f t="shared" si="16"/>
        <v>1</v>
      </c>
      <c r="AF19" s="1">
        <f t="shared" si="17"/>
        <v>1</v>
      </c>
      <c r="AG19" s="1">
        <f t="shared" si="18"/>
        <v>1</v>
      </c>
      <c r="AH19" s="1">
        <f t="shared" si="19"/>
        <v>1</v>
      </c>
      <c r="AI19" s="1">
        <f t="shared" si="20"/>
        <v>4</v>
      </c>
      <c r="AJ19" s="106" t="b">
        <f t="shared" si="21"/>
        <v>0</v>
      </c>
      <c r="AK19" s="106">
        <f t="shared" si="22"/>
        <v>0.8</v>
      </c>
      <c r="AL19" s="106" t="b">
        <f t="shared" si="23"/>
        <v>0</v>
      </c>
      <c r="AM19" s="106" t="b">
        <f t="shared" si="24"/>
        <v>0</v>
      </c>
      <c r="AN19" s="106" t="b">
        <f t="shared" si="25"/>
        <v>0</v>
      </c>
      <c r="AO19" s="106" t="b">
        <f t="shared" si="41"/>
        <v>0</v>
      </c>
      <c r="AP19" s="106" t="b">
        <f t="shared" si="26"/>
        <v>0</v>
      </c>
      <c r="AQ19" s="106" t="b">
        <f t="shared" si="27"/>
        <v>0</v>
      </c>
      <c r="AR19" s="106" t="b">
        <f t="shared" si="28"/>
        <v>0</v>
      </c>
      <c r="AS19" s="106" t="b">
        <f t="shared" si="29"/>
        <v>0</v>
      </c>
      <c r="AT19" s="148">
        <f t="shared" si="30"/>
        <v>0</v>
      </c>
      <c r="AU19" s="198">
        <f t="shared" si="31"/>
        <v>5</v>
      </c>
      <c r="AV19" s="204">
        <f t="shared" si="32"/>
        <v>0.8</v>
      </c>
      <c r="AW19" s="107" t="str">
        <f t="shared" si="33"/>
        <v/>
      </c>
      <c r="AX19" s="108"/>
      <c r="AY19" s="109" t="str">
        <f t="shared" si="34"/>
        <v/>
      </c>
      <c r="AZ19" s="110"/>
      <c r="BA19" s="111" t="str">
        <f t="shared" si="35"/>
        <v/>
      </c>
      <c r="BB19" s="112"/>
      <c r="BC19" s="113" t="str">
        <f t="shared" si="36"/>
        <v/>
      </c>
      <c r="BD19" s="114">
        <f t="shared" si="37"/>
        <v>0</v>
      </c>
      <c r="BE19" s="118"/>
      <c r="BF19" s="113" t="str">
        <f t="shared" si="38"/>
        <v/>
      </c>
      <c r="BG19" s="116">
        <f t="shared" si="39"/>
        <v>0</v>
      </c>
    </row>
    <row r="20" spans="1:59" ht="15" customHeight="1" x14ac:dyDescent="0.2">
      <c r="A20">
        <v>4</v>
      </c>
      <c r="B20" s="186">
        <f>BEGINBLAD!B9</f>
        <v>0</v>
      </c>
      <c r="C20" s="110" t="str">
        <f>IF('RIO - M4'!C20="","",IF('RIO - M4'!C20&gt;"",'RIO - M4'!C20))</f>
        <v/>
      </c>
      <c r="D20" s="149" t="str">
        <f>IF('NW - E4'!N9="","",IF('NW - E4'!N9="A+","A",IF('NW - E4'!N9="A","A",IF('NW - E4'!N9="B","B",IF('NW - E4'!N9="C","C",IF('NW - E4'!N9="C-","C",IF('NW - E4'!N9="D","D",IF('NW - E4'!N9="E","E"))))))))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E4'!D9=0,0,IF('NW - E4'!D9&gt;=0,'NW - E4'!D9))</f>
        <v>0</v>
      </c>
      <c r="Q20" s="206" t="str">
        <f t="shared" si="7"/>
        <v/>
      </c>
      <c r="R20" s="250">
        <f t="shared" si="8"/>
        <v>0</v>
      </c>
      <c r="S20" s="249">
        <f>IF('NW - E4'!F9=0,0,IF('NW - E4'!F9&gt;=0,'NW - E4'!F9))</f>
        <v>0</v>
      </c>
      <c r="T20" s="206" t="str">
        <f t="shared" si="9"/>
        <v/>
      </c>
      <c r="U20" s="250">
        <f t="shared" si="10"/>
        <v>0</v>
      </c>
      <c r="V20" s="249">
        <f>IF('NW - E4'!E9=0,0,IF('NW - E4'!E9&gt;=0,'NW - E4'!E9))</f>
        <v>0</v>
      </c>
      <c r="W20" s="206" t="str">
        <f t="shared" si="11"/>
        <v/>
      </c>
      <c r="X20" s="250">
        <f t="shared" si="12"/>
        <v>0</v>
      </c>
      <c r="Y20" s="249">
        <f>IF('NW - E4'!I9=0,0,IF('NW - E4'!I9&gt;=0,'NW - E4'!I9))</f>
        <v>0</v>
      </c>
      <c r="Z20" s="206" t="str">
        <f t="shared" si="13"/>
        <v/>
      </c>
      <c r="AA20" s="250">
        <f t="shared" si="14"/>
        <v>0</v>
      </c>
      <c r="AB20" s="249">
        <f>IF('NW - E4'!H9=0,0,IF('NW - E4'!H9&gt;=0,'NW - E4'!H9))</f>
        <v>0</v>
      </c>
      <c r="AC20" s="206" t="str">
        <f t="shared" si="15"/>
        <v/>
      </c>
      <c r="AD20" s="1" t="str">
        <f t="shared" si="40"/>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1"/>
        <v>0</v>
      </c>
      <c r="AP20" s="106" t="b">
        <f t="shared" si="26"/>
        <v>0</v>
      </c>
      <c r="AQ20" s="106" t="b">
        <f t="shared" si="27"/>
        <v>0</v>
      </c>
      <c r="AR20" s="106" t="b">
        <f t="shared" si="28"/>
        <v>0</v>
      </c>
      <c r="AS20" s="106" t="b">
        <f t="shared" si="29"/>
        <v>0</v>
      </c>
      <c r="AT20" s="148" t="str">
        <f t="shared" si="30"/>
        <v/>
      </c>
      <c r="AU20" s="198" t="e">
        <f t="shared" si="31"/>
        <v>#VALUE!</v>
      </c>
      <c r="AV20" s="204" t="str">
        <f t="shared" si="32"/>
        <v/>
      </c>
      <c r="AW20" s="107" t="str">
        <f t="shared" si="33"/>
        <v/>
      </c>
      <c r="AX20" s="108"/>
      <c r="AY20" s="109" t="str">
        <f t="shared" si="34"/>
        <v/>
      </c>
      <c r="AZ20" s="110"/>
      <c r="BA20" s="111" t="str">
        <f t="shared" si="35"/>
        <v/>
      </c>
      <c r="BB20" s="112"/>
      <c r="BC20" s="113" t="str">
        <f t="shared" si="36"/>
        <v/>
      </c>
      <c r="BD20" s="114">
        <f t="shared" si="37"/>
        <v>0</v>
      </c>
      <c r="BE20" s="118"/>
      <c r="BF20" s="113" t="str">
        <f t="shared" si="38"/>
        <v/>
      </c>
      <c r="BG20" s="116">
        <f t="shared" si="39"/>
        <v>0</v>
      </c>
    </row>
    <row r="21" spans="1:59" ht="15" customHeight="1" x14ac:dyDescent="0.2">
      <c r="A21">
        <v>5</v>
      </c>
      <c r="B21" s="186">
        <f>BEGINBLAD!B10</f>
        <v>0</v>
      </c>
      <c r="C21" s="110" t="str">
        <f>IF('RIO - M4'!C21="","",IF('RIO - M4'!C21&gt;"",'RIO - M4'!C21))</f>
        <v/>
      </c>
      <c r="D21" s="149" t="str">
        <f>IF('NW - E4'!N10="","",IF('NW - E4'!N10="A+","A",IF('NW - E4'!N10="A","A",IF('NW - E4'!N10="B","B",IF('NW - E4'!N10="C","C",IF('NW - E4'!N10="C-","C",IF('NW - E4'!N10="D","D",IF('NW - E4'!N10="E","E"))))))))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E4'!D10=0,0,IF('NW - E4'!D10&gt;=0,'NW - E4'!D10))</f>
        <v>0</v>
      </c>
      <c r="Q21" s="206" t="str">
        <f t="shared" si="7"/>
        <v/>
      </c>
      <c r="R21" s="250">
        <f t="shared" si="8"/>
        <v>0</v>
      </c>
      <c r="S21" s="249">
        <f>IF('NW - E4'!F10=0,0,IF('NW - E4'!F10&gt;=0,'NW - E4'!F10))</f>
        <v>0</v>
      </c>
      <c r="T21" s="206" t="str">
        <f t="shared" si="9"/>
        <v/>
      </c>
      <c r="U21" s="250">
        <f t="shared" si="10"/>
        <v>0</v>
      </c>
      <c r="V21" s="249">
        <f>IF('NW - E4'!E10=0,0,IF('NW - E4'!E10&gt;=0,'NW - E4'!E10))</f>
        <v>0</v>
      </c>
      <c r="W21" s="206" t="str">
        <f t="shared" si="11"/>
        <v/>
      </c>
      <c r="X21" s="250">
        <f t="shared" si="12"/>
        <v>0</v>
      </c>
      <c r="Y21" s="249">
        <f>IF('NW - E4'!I10=0,0,IF('NW - E4'!I10&gt;=0,'NW - E4'!I10))</f>
        <v>0</v>
      </c>
      <c r="Z21" s="206" t="str">
        <f t="shared" si="13"/>
        <v/>
      </c>
      <c r="AA21" s="250">
        <f t="shared" si="14"/>
        <v>0</v>
      </c>
      <c r="AB21" s="249">
        <f>IF('NW - E4'!H10=0,0,IF('NW - E4'!H10&gt;=0,'NW - E4'!H10))</f>
        <v>0</v>
      </c>
      <c r="AC21" s="206" t="str">
        <f t="shared" si="15"/>
        <v/>
      </c>
      <c r="AD21" s="1" t="str">
        <f t="shared" si="40"/>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1"/>
        <v>0</v>
      </c>
      <c r="AP21" s="106" t="b">
        <f t="shared" si="26"/>
        <v>0</v>
      </c>
      <c r="AQ21" s="106" t="b">
        <f t="shared" si="27"/>
        <v>0</v>
      </c>
      <c r="AR21" s="106" t="b">
        <f t="shared" si="28"/>
        <v>0</v>
      </c>
      <c r="AS21" s="106" t="b">
        <f t="shared" si="29"/>
        <v>0</v>
      </c>
      <c r="AT21" s="148" t="str">
        <f t="shared" si="30"/>
        <v/>
      </c>
      <c r="AU21" s="198" t="e">
        <f t="shared" si="31"/>
        <v>#VALUE!</v>
      </c>
      <c r="AV21" s="204" t="str">
        <f t="shared" si="32"/>
        <v/>
      </c>
      <c r="AW21" s="107" t="str">
        <f t="shared" si="33"/>
        <v/>
      </c>
      <c r="AX21" s="108"/>
      <c r="AY21" s="109" t="str">
        <f t="shared" si="34"/>
        <v/>
      </c>
      <c r="AZ21" s="110"/>
      <c r="BA21" s="111" t="str">
        <f t="shared" si="35"/>
        <v/>
      </c>
      <c r="BB21" s="112"/>
      <c r="BC21" s="113" t="str">
        <f t="shared" si="36"/>
        <v/>
      </c>
      <c r="BD21" s="114">
        <f t="shared" si="37"/>
        <v>0</v>
      </c>
      <c r="BE21" s="118"/>
      <c r="BF21" s="113" t="str">
        <f t="shared" si="38"/>
        <v/>
      </c>
      <c r="BG21" s="116">
        <f t="shared" si="39"/>
        <v>0</v>
      </c>
    </row>
    <row r="22" spans="1:59" ht="15" customHeight="1" x14ac:dyDescent="0.2">
      <c r="A22">
        <v>6</v>
      </c>
      <c r="B22" s="186">
        <f>BEGINBLAD!B11</f>
        <v>0</v>
      </c>
      <c r="C22" s="110" t="str">
        <f>IF('RIO - M4'!C22="","",IF('RIO - M4'!C22&gt;"",'RIO - M4'!C22))</f>
        <v/>
      </c>
      <c r="D22" s="149" t="str">
        <f>IF('NW - E4'!N11="","",IF('NW - E4'!N11="A+","A",IF('NW - E4'!N11="A","A",IF('NW - E4'!N11="B","B",IF('NW - E4'!N11="C","C",IF('NW - E4'!N11="C-","C",IF('NW - E4'!N11="D","D",IF('NW - E4'!N11="E","E"))))))))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E4'!D11=0,0,IF('NW - E4'!D11&gt;=0,'NW - E4'!D11))</f>
        <v>0</v>
      </c>
      <c r="Q22" s="206" t="str">
        <f t="shared" si="7"/>
        <v/>
      </c>
      <c r="R22" s="250">
        <f t="shared" si="8"/>
        <v>0</v>
      </c>
      <c r="S22" s="249">
        <f>IF('NW - E4'!F11=0,0,IF('NW - E4'!F11&gt;=0,'NW - E4'!F11))</f>
        <v>0</v>
      </c>
      <c r="T22" s="206" t="str">
        <f t="shared" si="9"/>
        <v/>
      </c>
      <c r="U22" s="250">
        <f t="shared" si="10"/>
        <v>0</v>
      </c>
      <c r="V22" s="249">
        <f>IF('NW - E4'!E11=0,0,IF('NW - E4'!E11&gt;=0,'NW - E4'!E11))</f>
        <v>0</v>
      </c>
      <c r="W22" s="206" t="str">
        <f t="shared" si="11"/>
        <v/>
      </c>
      <c r="X22" s="250">
        <f t="shared" si="12"/>
        <v>0</v>
      </c>
      <c r="Y22" s="249">
        <f>IF('NW - E4'!I11=0,0,IF('NW - E4'!I11&gt;=0,'NW - E4'!I11))</f>
        <v>0</v>
      </c>
      <c r="Z22" s="206" t="str">
        <f t="shared" si="13"/>
        <v/>
      </c>
      <c r="AA22" s="250">
        <f t="shared" si="14"/>
        <v>0</v>
      </c>
      <c r="AB22" s="249">
        <f>IF('NW - E4'!H11=0,0,IF('NW - E4'!H11&gt;=0,'NW - E4'!H11))</f>
        <v>0</v>
      </c>
      <c r="AC22" s="206" t="str">
        <f t="shared" si="15"/>
        <v/>
      </c>
      <c r="AD22" s="1" t="str">
        <f t="shared" si="40"/>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1"/>
        <v>0</v>
      </c>
      <c r="AP22" s="106" t="b">
        <f t="shared" si="26"/>
        <v>0</v>
      </c>
      <c r="AQ22" s="106" t="b">
        <f t="shared" si="27"/>
        <v>0</v>
      </c>
      <c r="AR22" s="106" t="b">
        <f t="shared" si="28"/>
        <v>0</v>
      </c>
      <c r="AS22" s="106" t="b">
        <f t="shared" si="29"/>
        <v>0</v>
      </c>
      <c r="AT22" s="148" t="str">
        <f t="shared" si="30"/>
        <v/>
      </c>
      <c r="AU22" s="198" t="e">
        <f t="shared" si="31"/>
        <v>#VALUE!</v>
      </c>
      <c r="AV22" s="204" t="str">
        <f t="shared" si="32"/>
        <v/>
      </c>
      <c r="AW22" s="107" t="str">
        <f t="shared" si="33"/>
        <v/>
      </c>
      <c r="AX22" s="108"/>
      <c r="AY22" s="109" t="str">
        <f t="shared" si="34"/>
        <v/>
      </c>
      <c r="AZ22" s="110"/>
      <c r="BA22" s="111" t="str">
        <f t="shared" si="35"/>
        <v/>
      </c>
      <c r="BB22" s="112"/>
      <c r="BC22" s="113" t="str">
        <f t="shared" si="36"/>
        <v/>
      </c>
      <c r="BD22" s="114">
        <f t="shared" si="37"/>
        <v>0</v>
      </c>
      <c r="BE22" s="118"/>
      <c r="BF22" s="113" t="str">
        <f t="shared" si="38"/>
        <v/>
      </c>
      <c r="BG22" s="116">
        <f t="shared" si="39"/>
        <v>0</v>
      </c>
    </row>
    <row r="23" spans="1:59" ht="15" customHeight="1" x14ac:dyDescent="0.2">
      <c r="A23">
        <v>7</v>
      </c>
      <c r="B23" s="186">
        <f>BEGINBLAD!B12</f>
        <v>0</v>
      </c>
      <c r="C23" s="110" t="str">
        <f>IF('RIO - M4'!C23="","",IF('RIO - M4'!C23&gt;"",'RIO - M4'!C23))</f>
        <v/>
      </c>
      <c r="D23" s="149" t="str">
        <f>IF('NW - E4'!N12="","",IF('NW - E4'!N12="A+","A",IF('NW - E4'!N12="A","A",IF('NW - E4'!N12="B","B",IF('NW - E4'!N12="C","C",IF('NW - E4'!N12="C-","C",IF('NW - E4'!N12="D","D",IF('NW - E4'!N12="E","E"))))))))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E4'!D12=0,0,IF('NW - E4'!D12&gt;=0,'NW - E4'!D12))</f>
        <v>0</v>
      </c>
      <c r="Q23" s="206" t="str">
        <f t="shared" si="7"/>
        <v/>
      </c>
      <c r="R23" s="250">
        <f t="shared" si="8"/>
        <v>0</v>
      </c>
      <c r="S23" s="249">
        <f>IF('NW - E4'!F12=0,0,IF('NW - E4'!F12&gt;=0,'NW - E4'!F12))</f>
        <v>0</v>
      </c>
      <c r="T23" s="206" t="str">
        <f t="shared" si="9"/>
        <v/>
      </c>
      <c r="U23" s="250">
        <f t="shared" si="10"/>
        <v>0</v>
      </c>
      <c r="V23" s="249">
        <f>IF('NW - E4'!E12=0,0,IF('NW - E4'!E12&gt;=0,'NW - E4'!E12))</f>
        <v>0</v>
      </c>
      <c r="W23" s="206" t="str">
        <f t="shared" si="11"/>
        <v/>
      </c>
      <c r="X23" s="250">
        <f t="shared" si="12"/>
        <v>0</v>
      </c>
      <c r="Y23" s="249">
        <f>IF('NW - E4'!I12=0,0,IF('NW - E4'!I12&gt;=0,'NW - E4'!I12))</f>
        <v>0</v>
      </c>
      <c r="Z23" s="206" t="str">
        <f t="shared" si="13"/>
        <v/>
      </c>
      <c r="AA23" s="250">
        <f t="shared" si="14"/>
        <v>0</v>
      </c>
      <c r="AB23" s="249">
        <f>IF('NW - E4'!H12=0,0,IF('NW - E4'!H12&gt;=0,'NW - E4'!H12))</f>
        <v>0</v>
      </c>
      <c r="AC23" s="206" t="str">
        <f t="shared" si="15"/>
        <v/>
      </c>
      <c r="AD23" s="1" t="str">
        <f t="shared" si="40"/>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1"/>
        <v>0</v>
      </c>
      <c r="AP23" s="106" t="b">
        <f t="shared" si="26"/>
        <v>0</v>
      </c>
      <c r="AQ23" s="106" t="b">
        <f t="shared" si="27"/>
        <v>0</v>
      </c>
      <c r="AR23" s="106" t="b">
        <f t="shared" si="28"/>
        <v>0</v>
      </c>
      <c r="AS23" s="106" t="b">
        <f t="shared" si="29"/>
        <v>0</v>
      </c>
      <c r="AT23" s="148" t="str">
        <f t="shared" si="30"/>
        <v/>
      </c>
      <c r="AU23" s="198" t="e">
        <f t="shared" si="31"/>
        <v>#VALUE!</v>
      </c>
      <c r="AV23" s="204" t="str">
        <f t="shared" si="32"/>
        <v/>
      </c>
      <c r="AW23" s="107" t="str">
        <f t="shared" si="33"/>
        <v/>
      </c>
      <c r="AX23" s="108"/>
      <c r="AY23" s="109" t="str">
        <f t="shared" si="34"/>
        <v/>
      </c>
      <c r="AZ23" s="110"/>
      <c r="BA23" s="111" t="str">
        <f t="shared" si="35"/>
        <v/>
      </c>
      <c r="BB23" s="112"/>
      <c r="BC23" s="113" t="str">
        <f t="shared" si="36"/>
        <v/>
      </c>
      <c r="BD23" s="114">
        <f t="shared" si="37"/>
        <v>0</v>
      </c>
      <c r="BE23" s="118"/>
      <c r="BF23" s="113" t="str">
        <f t="shared" si="38"/>
        <v/>
      </c>
      <c r="BG23" s="116">
        <f t="shared" si="39"/>
        <v>0</v>
      </c>
    </row>
    <row r="24" spans="1:59" ht="15" customHeight="1" x14ac:dyDescent="0.2">
      <c r="A24">
        <v>8</v>
      </c>
      <c r="B24" s="186">
        <f>BEGINBLAD!B13</f>
        <v>0</v>
      </c>
      <c r="C24" s="110" t="str">
        <f>IF('RIO - M4'!C24="","",IF('RIO - M4'!C24&gt;"",'RIO - M4'!C24))</f>
        <v/>
      </c>
      <c r="D24" s="149" t="str">
        <f>IF('NW - E4'!N13="","",IF('NW - E4'!N13="A+","A",IF('NW - E4'!N13="A","A",IF('NW - E4'!N13="B","B",IF('NW - E4'!N13="C","C",IF('NW - E4'!N13="C-","C",IF('NW - E4'!N13="D","D",IF('NW - E4'!N13="E","E"))))))))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E4'!D13=0,0,IF('NW - E4'!D13&gt;=0,'NW - E4'!D13))</f>
        <v>0</v>
      </c>
      <c r="Q24" s="206" t="str">
        <f t="shared" si="7"/>
        <v/>
      </c>
      <c r="R24" s="250">
        <f t="shared" si="8"/>
        <v>0</v>
      </c>
      <c r="S24" s="249">
        <f>IF('NW - E4'!F13=0,0,IF('NW - E4'!F13&gt;=0,'NW - E4'!F13))</f>
        <v>0</v>
      </c>
      <c r="T24" s="206" t="str">
        <f t="shared" si="9"/>
        <v/>
      </c>
      <c r="U24" s="250">
        <f t="shared" si="10"/>
        <v>0</v>
      </c>
      <c r="V24" s="249">
        <f>IF('NW - E4'!E13=0,0,IF('NW - E4'!E13&gt;=0,'NW - E4'!E13))</f>
        <v>0</v>
      </c>
      <c r="W24" s="206" t="str">
        <f t="shared" si="11"/>
        <v/>
      </c>
      <c r="X24" s="250">
        <f t="shared" si="12"/>
        <v>0</v>
      </c>
      <c r="Y24" s="249">
        <f>IF('NW - E4'!I13=0,0,IF('NW - E4'!I13&gt;=0,'NW - E4'!I13))</f>
        <v>0</v>
      </c>
      <c r="Z24" s="206" t="str">
        <f t="shared" si="13"/>
        <v/>
      </c>
      <c r="AA24" s="250">
        <f t="shared" si="14"/>
        <v>0</v>
      </c>
      <c r="AB24" s="249">
        <f>IF('NW - E4'!H13=0,0,IF('NW - E4'!H13&gt;=0,'NW - E4'!H13))</f>
        <v>0</v>
      </c>
      <c r="AC24" s="206" t="str">
        <f t="shared" si="15"/>
        <v/>
      </c>
      <c r="AD24" s="1" t="str">
        <f t="shared" si="40"/>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1"/>
        <v>0</v>
      </c>
      <c r="AP24" s="106" t="b">
        <f t="shared" si="26"/>
        <v>0</v>
      </c>
      <c r="AQ24" s="106" t="b">
        <f t="shared" si="27"/>
        <v>0</v>
      </c>
      <c r="AR24" s="106" t="b">
        <f t="shared" si="28"/>
        <v>0</v>
      </c>
      <c r="AS24" s="106" t="b">
        <f t="shared" si="29"/>
        <v>0</v>
      </c>
      <c r="AT24" s="148" t="str">
        <f t="shared" si="30"/>
        <v/>
      </c>
      <c r="AU24" s="198" t="e">
        <f t="shared" si="31"/>
        <v>#VALUE!</v>
      </c>
      <c r="AV24" s="204" t="str">
        <f t="shared" si="32"/>
        <v/>
      </c>
      <c r="AW24" s="107" t="str">
        <f t="shared" si="33"/>
        <v/>
      </c>
      <c r="AX24" s="108" t="s">
        <v>28</v>
      </c>
      <c r="AY24" s="109" t="str">
        <f t="shared" si="34"/>
        <v/>
      </c>
      <c r="AZ24" s="110"/>
      <c r="BA24" s="111" t="str">
        <f t="shared" si="35"/>
        <v/>
      </c>
      <c r="BB24" s="112"/>
      <c r="BC24" s="113" t="str">
        <f t="shared" si="36"/>
        <v/>
      </c>
      <c r="BD24" s="114">
        <f t="shared" si="37"/>
        <v>0</v>
      </c>
      <c r="BE24" s="118"/>
      <c r="BF24" s="113" t="str">
        <f t="shared" si="38"/>
        <v/>
      </c>
      <c r="BG24" s="116">
        <f t="shared" si="39"/>
        <v>0</v>
      </c>
    </row>
    <row r="25" spans="1:59" ht="15" customHeight="1" x14ac:dyDescent="0.2">
      <c r="A25">
        <v>9</v>
      </c>
      <c r="B25" s="186">
        <f>BEGINBLAD!B14</f>
        <v>0</v>
      </c>
      <c r="C25" s="110" t="str">
        <f>IF('RIO - M4'!C25="","",IF('RIO - M4'!C25&gt;"",'RIO - M4'!C25))</f>
        <v/>
      </c>
      <c r="D25" s="149" t="str">
        <f>IF('NW - E4'!N14="","",IF('NW - E4'!N14="A+","A",IF('NW - E4'!N14="A","A",IF('NW - E4'!N14="B","B",IF('NW - E4'!N14="C","C",IF('NW - E4'!N14="C-","C",IF('NW - E4'!N14="D","D",IF('NW - E4'!N14="E","E"))))))))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E4'!D14=0,0,IF('NW - E4'!D14&gt;=0,'NW - E4'!D14))</f>
        <v>0</v>
      </c>
      <c r="Q25" s="206" t="str">
        <f t="shared" si="7"/>
        <v/>
      </c>
      <c r="R25" s="250">
        <f t="shared" si="8"/>
        <v>0</v>
      </c>
      <c r="S25" s="249">
        <f>IF('NW - E4'!F14=0,0,IF('NW - E4'!F14&gt;=0,'NW - E4'!F14))</f>
        <v>0</v>
      </c>
      <c r="T25" s="206" t="str">
        <f t="shared" si="9"/>
        <v/>
      </c>
      <c r="U25" s="250">
        <f t="shared" si="10"/>
        <v>0</v>
      </c>
      <c r="V25" s="249">
        <f>IF('NW - E4'!E14=0,0,IF('NW - E4'!E14&gt;=0,'NW - E4'!E14))</f>
        <v>0</v>
      </c>
      <c r="W25" s="206" t="str">
        <f t="shared" si="11"/>
        <v/>
      </c>
      <c r="X25" s="250">
        <f t="shared" si="12"/>
        <v>0</v>
      </c>
      <c r="Y25" s="249">
        <f>IF('NW - E4'!I14=0,0,IF('NW - E4'!I14&gt;=0,'NW - E4'!I14))</f>
        <v>0</v>
      </c>
      <c r="Z25" s="206" t="str">
        <f t="shared" si="13"/>
        <v/>
      </c>
      <c r="AA25" s="250">
        <f t="shared" si="14"/>
        <v>0</v>
      </c>
      <c r="AB25" s="249">
        <f>IF('NW - E4'!H14=0,0,IF('NW - E4'!H14&gt;=0,'NW - E4'!H14))</f>
        <v>0</v>
      </c>
      <c r="AC25" s="206" t="str">
        <f t="shared" si="15"/>
        <v/>
      </c>
      <c r="AD25" s="1" t="str">
        <f t="shared" si="40"/>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1"/>
        <v>0</v>
      </c>
      <c r="AP25" s="106" t="b">
        <f t="shared" si="26"/>
        <v>0</v>
      </c>
      <c r="AQ25" s="106" t="b">
        <f t="shared" si="27"/>
        <v>0</v>
      </c>
      <c r="AR25" s="106" t="b">
        <f t="shared" si="28"/>
        <v>0</v>
      </c>
      <c r="AS25" s="106" t="b">
        <f t="shared" si="29"/>
        <v>0</v>
      </c>
      <c r="AT25" s="148" t="str">
        <f t="shared" si="30"/>
        <v/>
      </c>
      <c r="AU25" s="198" t="e">
        <f t="shared" si="31"/>
        <v>#VALUE!</v>
      </c>
      <c r="AV25" s="204" t="str">
        <f t="shared" si="32"/>
        <v/>
      </c>
      <c r="AW25" s="107" t="str">
        <f t="shared" si="33"/>
        <v/>
      </c>
      <c r="AX25" s="108"/>
      <c r="AY25" s="109" t="str">
        <f t="shared" si="34"/>
        <v/>
      </c>
      <c r="AZ25" s="110"/>
      <c r="BA25" s="111" t="str">
        <f t="shared" si="35"/>
        <v/>
      </c>
      <c r="BB25" s="112"/>
      <c r="BC25" s="113" t="str">
        <f t="shared" si="36"/>
        <v/>
      </c>
      <c r="BD25" s="114">
        <f t="shared" si="37"/>
        <v>0</v>
      </c>
      <c r="BE25" s="118"/>
      <c r="BF25" s="113" t="str">
        <f t="shared" si="38"/>
        <v/>
      </c>
      <c r="BG25" s="116">
        <f t="shared" si="39"/>
        <v>0</v>
      </c>
    </row>
    <row r="26" spans="1:59" ht="15" customHeight="1" x14ac:dyDescent="0.2">
      <c r="A26">
        <v>10</v>
      </c>
      <c r="B26" s="186">
        <f>BEGINBLAD!B15</f>
        <v>0</v>
      </c>
      <c r="C26" s="110" t="str">
        <f>IF('RIO - M4'!C26="","",IF('RIO - M4'!C26&gt;"",'RIO - M4'!C26))</f>
        <v/>
      </c>
      <c r="D26" s="149" t="str">
        <f>IF('NW - E4'!N15="","",IF('NW - E4'!N15="A+","A",IF('NW - E4'!N15="A","A",IF('NW - E4'!N15="B","B",IF('NW - E4'!N15="C","C",IF('NW - E4'!N15="C-","C",IF('NW - E4'!N15="D","D",IF('NW - E4'!N15="E","E"))))))))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E4'!D15=0,0,IF('NW - E4'!D15&gt;=0,'NW - E4'!D15))</f>
        <v>0</v>
      </c>
      <c r="Q26" s="206" t="str">
        <f t="shared" si="7"/>
        <v/>
      </c>
      <c r="R26" s="250">
        <f t="shared" si="8"/>
        <v>0</v>
      </c>
      <c r="S26" s="249">
        <f>IF('NW - E4'!F15=0,0,IF('NW - E4'!F15&gt;=0,'NW - E4'!F15))</f>
        <v>0</v>
      </c>
      <c r="T26" s="206" t="str">
        <f t="shared" si="9"/>
        <v/>
      </c>
      <c r="U26" s="250">
        <f t="shared" si="10"/>
        <v>0</v>
      </c>
      <c r="V26" s="249">
        <f>IF('NW - E4'!E15=0,0,IF('NW - E4'!E15&gt;=0,'NW - E4'!E15))</f>
        <v>0</v>
      </c>
      <c r="W26" s="206" t="str">
        <f t="shared" si="11"/>
        <v/>
      </c>
      <c r="X26" s="250">
        <f t="shared" si="12"/>
        <v>0</v>
      </c>
      <c r="Y26" s="249">
        <f>IF('NW - E4'!I15=0,0,IF('NW - E4'!I15&gt;=0,'NW - E4'!I15))</f>
        <v>0</v>
      </c>
      <c r="Z26" s="206" t="str">
        <f t="shared" si="13"/>
        <v/>
      </c>
      <c r="AA26" s="250">
        <f t="shared" si="14"/>
        <v>0</v>
      </c>
      <c r="AB26" s="249">
        <f>IF('NW - E4'!H15=0,0,IF('NW - E4'!H15&gt;=0,'NW - E4'!H15))</f>
        <v>0</v>
      </c>
      <c r="AC26" s="206" t="str">
        <f t="shared" si="15"/>
        <v/>
      </c>
      <c r="AD26" s="1" t="str">
        <f t="shared" si="40"/>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1"/>
        <v>0</v>
      </c>
      <c r="AP26" s="106" t="b">
        <f t="shared" si="26"/>
        <v>0</v>
      </c>
      <c r="AQ26" s="106" t="b">
        <f t="shared" si="27"/>
        <v>0</v>
      </c>
      <c r="AR26" s="106" t="b">
        <f t="shared" si="28"/>
        <v>0</v>
      </c>
      <c r="AS26" s="106" t="b">
        <f t="shared" si="29"/>
        <v>0</v>
      </c>
      <c r="AT26" s="148" t="str">
        <f t="shared" si="30"/>
        <v/>
      </c>
      <c r="AU26" s="198" t="e">
        <f t="shared" si="31"/>
        <v>#VALUE!</v>
      </c>
      <c r="AV26" s="204" t="str">
        <f t="shared" si="32"/>
        <v/>
      </c>
      <c r="AW26" s="107" t="str">
        <f t="shared" si="33"/>
        <v/>
      </c>
      <c r="AX26" s="108"/>
      <c r="AY26" s="109" t="str">
        <f t="shared" si="34"/>
        <v/>
      </c>
      <c r="AZ26" s="110"/>
      <c r="BA26" s="111" t="str">
        <f t="shared" si="35"/>
        <v/>
      </c>
      <c r="BB26" s="112"/>
      <c r="BC26" s="113" t="str">
        <f t="shared" si="36"/>
        <v/>
      </c>
      <c r="BD26" s="114">
        <f t="shared" si="37"/>
        <v>0</v>
      </c>
      <c r="BE26" s="118"/>
      <c r="BF26" s="113" t="str">
        <f t="shared" si="38"/>
        <v/>
      </c>
      <c r="BG26" s="116">
        <f t="shared" si="39"/>
        <v>0</v>
      </c>
    </row>
    <row r="27" spans="1:59" ht="15" customHeight="1" x14ac:dyDescent="0.2">
      <c r="A27">
        <v>11</v>
      </c>
      <c r="B27" s="186">
        <f>BEGINBLAD!B16</f>
        <v>0</v>
      </c>
      <c r="C27" s="110" t="str">
        <f>IF('RIO - M4'!C27="","",IF('RIO - M4'!C27&gt;"",'RIO - M4'!C27))</f>
        <v/>
      </c>
      <c r="D27" s="149" t="str">
        <f>IF('NW - E4'!N16="","",IF('NW - E4'!N16="A+","A",IF('NW - E4'!N16="A","A",IF('NW - E4'!N16="B","B",IF('NW - E4'!N16="C","C",IF('NW - E4'!N16="C-","C",IF('NW - E4'!N16="D","D",IF('NW - E4'!N16="E","E"))))))))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E4'!D16=0,0,IF('NW - E4'!D16&gt;=0,'NW - E4'!D16))</f>
        <v>0</v>
      </c>
      <c r="Q27" s="206" t="str">
        <f t="shared" si="7"/>
        <v/>
      </c>
      <c r="R27" s="250">
        <f t="shared" si="8"/>
        <v>0</v>
      </c>
      <c r="S27" s="249">
        <f>IF('NW - E4'!F16=0,0,IF('NW - E4'!F16&gt;=0,'NW - E4'!F16))</f>
        <v>0</v>
      </c>
      <c r="T27" s="206" t="str">
        <f t="shared" si="9"/>
        <v/>
      </c>
      <c r="U27" s="250">
        <f t="shared" si="10"/>
        <v>0</v>
      </c>
      <c r="V27" s="249">
        <f>IF('NW - E4'!E16=0,0,IF('NW - E4'!E16&gt;=0,'NW - E4'!E16))</f>
        <v>0</v>
      </c>
      <c r="W27" s="206" t="str">
        <f t="shared" si="11"/>
        <v/>
      </c>
      <c r="X27" s="250">
        <f t="shared" si="12"/>
        <v>0</v>
      </c>
      <c r="Y27" s="249">
        <f>IF('NW - E4'!I16=0,0,IF('NW - E4'!I16&gt;=0,'NW - E4'!I16))</f>
        <v>0</v>
      </c>
      <c r="Z27" s="206" t="str">
        <f t="shared" si="13"/>
        <v/>
      </c>
      <c r="AA27" s="250">
        <f t="shared" si="14"/>
        <v>0</v>
      </c>
      <c r="AB27" s="249">
        <f>IF('NW - E4'!H16=0,0,IF('NW - E4'!H16&gt;=0,'NW - E4'!H16))</f>
        <v>0</v>
      </c>
      <c r="AC27" s="206" t="str">
        <f t="shared" si="15"/>
        <v/>
      </c>
      <c r="AD27" s="1" t="str">
        <f t="shared" si="40"/>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1"/>
        <v>0</v>
      </c>
      <c r="AP27" s="106" t="b">
        <f t="shared" si="26"/>
        <v>0</v>
      </c>
      <c r="AQ27" s="106" t="b">
        <f t="shared" si="27"/>
        <v>0</v>
      </c>
      <c r="AR27" s="106" t="b">
        <f t="shared" si="28"/>
        <v>0</v>
      </c>
      <c r="AS27" s="106" t="b">
        <f t="shared" si="29"/>
        <v>0</v>
      </c>
      <c r="AT27" s="148" t="str">
        <f t="shared" si="30"/>
        <v/>
      </c>
      <c r="AU27" s="198" t="e">
        <f t="shared" si="31"/>
        <v>#VALUE!</v>
      </c>
      <c r="AV27" s="204" t="str">
        <f t="shared" si="32"/>
        <v/>
      </c>
      <c r="AW27" s="107" t="str">
        <f t="shared" si="33"/>
        <v/>
      </c>
      <c r="AX27" s="108"/>
      <c r="AY27" s="109" t="str">
        <f t="shared" si="34"/>
        <v/>
      </c>
      <c r="AZ27" s="110"/>
      <c r="BA27" s="111" t="str">
        <f t="shared" si="35"/>
        <v/>
      </c>
      <c r="BB27" s="112"/>
      <c r="BC27" s="113" t="str">
        <f t="shared" si="36"/>
        <v/>
      </c>
      <c r="BD27" s="114">
        <f t="shared" si="37"/>
        <v>0</v>
      </c>
      <c r="BE27" s="118"/>
      <c r="BF27" s="113" t="str">
        <f t="shared" si="38"/>
        <v/>
      </c>
      <c r="BG27" s="116">
        <f t="shared" si="39"/>
        <v>0</v>
      </c>
    </row>
    <row r="28" spans="1:59" ht="15" customHeight="1" x14ac:dyDescent="0.2">
      <c r="A28">
        <v>12</v>
      </c>
      <c r="B28" s="186">
        <f>BEGINBLAD!B17</f>
        <v>0</v>
      </c>
      <c r="C28" s="110" t="str">
        <f>IF('RIO - M4'!C28="","",IF('RIO - M4'!C28&gt;"",'RIO - M4'!C28))</f>
        <v/>
      </c>
      <c r="D28" s="149" t="str">
        <f>IF('NW - E4'!N17="","",IF('NW - E4'!N17="A+","A",IF('NW - E4'!N17="A","A",IF('NW - E4'!N17="B","B",IF('NW - E4'!N17="C","C",IF('NW - E4'!N17="C-","C",IF('NW - E4'!N17="D","D",IF('NW - E4'!N17="E","E"))))))))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E4'!D17=0,0,IF('NW - E4'!D17&gt;=0,'NW - E4'!D17))</f>
        <v>0</v>
      </c>
      <c r="Q28" s="206" t="str">
        <f t="shared" si="7"/>
        <v/>
      </c>
      <c r="R28" s="250">
        <f t="shared" si="8"/>
        <v>0</v>
      </c>
      <c r="S28" s="249">
        <f>IF('NW - E4'!F17=0,0,IF('NW - E4'!F17&gt;=0,'NW - E4'!F17))</f>
        <v>0</v>
      </c>
      <c r="T28" s="206" t="str">
        <f t="shared" si="9"/>
        <v/>
      </c>
      <c r="U28" s="250">
        <f t="shared" si="10"/>
        <v>0</v>
      </c>
      <c r="V28" s="249">
        <f>IF('NW - E4'!E17=0,0,IF('NW - E4'!E17&gt;=0,'NW - E4'!E17))</f>
        <v>0</v>
      </c>
      <c r="W28" s="206" t="str">
        <f t="shared" si="11"/>
        <v/>
      </c>
      <c r="X28" s="250">
        <f t="shared" si="12"/>
        <v>0</v>
      </c>
      <c r="Y28" s="249">
        <f>IF('NW - E4'!I17=0,0,IF('NW - E4'!I17&gt;=0,'NW - E4'!I17))</f>
        <v>0</v>
      </c>
      <c r="Z28" s="206" t="str">
        <f t="shared" si="13"/>
        <v/>
      </c>
      <c r="AA28" s="250">
        <f t="shared" si="14"/>
        <v>0</v>
      </c>
      <c r="AB28" s="249">
        <f>IF('NW - E4'!H17=0,0,IF('NW - E4'!H17&gt;=0,'NW - E4'!H17))</f>
        <v>0</v>
      </c>
      <c r="AC28" s="206" t="str">
        <f t="shared" si="15"/>
        <v/>
      </c>
      <c r="AD28" s="1" t="str">
        <f t="shared" si="40"/>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1"/>
        <v>0</v>
      </c>
      <c r="AP28" s="106" t="b">
        <f t="shared" si="26"/>
        <v>0</v>
      </c>
      <c r="AQ28" s="106" t="b">
        <f t="shared" si="27"/>
        <v>0</v>
      </c>
      <c r="AR28" s="106" t="b">
        <f t="shared" si="28"/>
        <v>0</v>
      </c>
      <c r="AS28" s="106" t="b">
        <f t="shared" si="29"/>
        <v>0</v>
      </c>
      <c r="AT28" s="148" t="str">
        <f t="shared" si="30"/>
        <v/>
      </c>
      <c r="AU28" s="198" t="e">
        <f t="shared" si="31"/>
        <v>#VALUE!</v>
      </c>
      <c r="AV28" s="204" t="str">
        <f t="shared" si="32"/>
        <v/>
      </c>
      <c r="AW28" s="107" t="str">
        <f t="shared" si="33"/>
        <v/>
      </c>
      <c r="AX28" s="108"/>
      <c r="AY28" s="109" t="str">
        <f t="shared" si="34"/>
        <v/>
      </c>
      <c r="AZ28" s="110"/>
      <c r="BA28" s="111" t="str">
        <f t="shared" si="35"/>
        <v/>
      </c>
      <c r="BB28" s="112"/>
      <c r="BC28" s="113" t="str">
        <f t="shared" si="36"/>
        <v/>
      </c>
      <c r="BD28" s="114">
        <f t="shared" si="37"/>
        <v>0</v>
      </c>
      <c r="BE28" s="118"/>
      <c r="BF28" s="113" t="str">
        <f t="shared" si="38"/>
        <v/>
      </c>
      <c r="BG28" s="116">
        <f t="shared" si="39"/>
        <v>0</v>
      </c>
    </row>
    <row r="29" spans="1:59" ht="15" customHeight="1" x14ac:dyDescent="0.2">
      <c r="A29">
        <v>13</v>
      </c>
      <c r="B29" s="186">
        <f>BEGINBLAD!B18</f>
        <v>0</v>
      </c>
      <c r="C29" s="110" t="str">
        <f>IF('RIO - M4'!C29="","",IF('RIO - M4'!C29&gt;"",'RIO - M4'!C29))</f>
        <v/>
      </c>
      <c r="D29" s="149" t="str">
        <f>IF('NW - E4'!N18="","",IF('NW - E4'!N18="A+","A",IF('NW - E4'!N18="A","A",IF('NW - E4'!N18="B","B",IF('NW - E4'!N18="C","C",IF('NW - E4'!N18="C-","C",IF('NW - E4'!N18="D","D",IF('NW - E4'!N18="E","E"))))))))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E4'!D18=0,0,IF('NW - E4'!D18&gt;=0,'NW - E4'!D18))</f>
        <v>0</v>
      </c>
      <c r="Q29" s="206" t="str">
        <f t="shared" si="7"/>
        <v/>
      </c>
      <c r="R29" s="250">
        <f t="shared" si="8"/>
        <v>0</v>
      </c>
      <c r="S29" s="249">
        <f>IF('NW - E4'!F18=0,0,IF('NW - E4'!F18&gt;=0,'NW - E4'!F18))</f>
        <v>0</v>
      </c>
      <c r="T29" s="206" t="str">
        <f t="shared" si="9"/>
        <v/>
      </c>
      <c r="U29" s="250">
        <f t="shared" si="10"/>
        <v>0</v>
      </c>
      <c r="V29" s="249">
        <f>IF('NW - E4'!E18=0,0,IF('NW - E4'!E18&gt;=0,'NW - E4'!E18))</f>
        <v>0</v>
      </c>
      <c r="W29" s="206" t="str">
        <f t="shared" si="11"/>
        <v/>
      </c>
      <c r="X29" s="250">
        <f t="shared" si="12"/>
        <v>0</v>
      </c>
      <c r="Y29" s="249">
        <f>IF('NW - E4'!I18=0,0,IF('NW - E4'!I18&gt;=0,'NW - E4'!I18))</f>
        <v>0</v>
      </c>
      <c r="Z29" s="206" t="str">
        <f t="shared" si="13"/>
        <v/>
      </c>
      <c r="AA29" s="250">
        <f t="shared" si="14"/>
        <v>0</v>
      </c>
      <c r="AB29" s="249">
        <f>IF('NW - E4'!H18=0,0,IF('NW - E4'!H18&gt;=0,'NW - E4'!H18))</f>
        <v>0</v>
      </c>
      <c r="AC29" s="206" t="str">
        <f t="shared" si="15"/>
        <v/>
      </c>
      <c r="AD29" s="1" t="str">
        <f t="shared" si="40"/>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1"/>
        <v>0</v>
      </c>
      <c r="AP29" s="106" t="b">
        <f t="shared" si="26"/>
        <v>0</v>
      </c>
      <c r="AQ29" s="106" t="b">
        <f t="shared" si="27"/>
        <v>0</v>
      </c>
      <c r="AR29" s="106" t="b">
        <f t="shared" si="28"/>
        <v>0</v>
      </c>
      <c r="AS29" s="106" t="b">
        <f t="shared" si="29"/>
        <v>0</v>
      </c>
      <c r="AT29" s="148" t="str">
        <f t="shared" si="30"/>
        <v/>
      </c>
      <c r="AU29" s="198" t="e">
        <f t="shared" si="31"/>
        <v>#VALUE!</v>
      </c>
      <c r="AV29" s="204" t="str">
        <f t="shared" si="32"/>
        <v/>
      </c>
      <c r="AW29" s="107" t="str">
        <f t="shared" si="33"/>
        <v/>
      </c>
      <c r="AX29" s="108"/>
      <c r="AY29" s="109" t="str">
        <f t="shared" si="34"/>
        <v/>
      </c>
      <c r="AZ29" s="110"/>
      <c r="BA29" s="111" t="str">
        <f t="shared" si="35"/>
        <v/>
      </c>
      <c r="BB29" s="112"/>
      <c r="BC29" s="113" t="str">
        <f t="shared" si="36"/>
        <v/>
      </c>
      <c r="BD29" s="114">
        <f t="shared" si="37"/>
        <v>0</v>
      </c>
      <c r="BE29" s="118"/>
      <c r="BF29" s="113" t="str">
        <f t="shared" si="38"/>
        <v/>
      </c>
      <c r="BG29" s="116">
        <f t="shared" si="39"/>
        <v>0</v>
      </c>
    </row>
    <row r="30" spans="1:59" ht="15" customHeight="1" x14ac:dyDescent="0.2">
      <c r="A30">
        <v>14</v>
      </c>
      <c r="B30" s="186">
        <f>BEGINBLAD!B19</f>
        <v>0</v>
      </c>
      <c r="C30" s="110" t="str">
        <f>IF('RIO - M4'!C30="","",IF('RIO - M4'!C30&gt;"",'RIO - M4'!C30))</f>
        <v/>
      </c>
      <c r="D30" s="149" t="str">
        <f>IF('NW - E4'!N19="","",IF('NW - E4'!N19="A+","A",IF('NW - E4'!N19="A","A",IF('NW - E4'!N19="B","B",IF('NW - E4'!N19="C","C",IF('NW - E4'!N19="C-","C",IF('NW - E4'!N19="D","D",IF('NW - E4'!N19="E","E"))))))))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E4'!D19=0,0,IF('NW - E4'!D19&gt;=0,'NW - E4'!D19))</f>
        <v>0</v>
      </c>
      <c r="Q30" s="206" t="str">
        <f t="shared" si="7"/>
        <v/>
      </c>
      <c r="R30" s="250">
        <f t="shared" si="8"/>
        <v>0</v>
      </c>
      <c r="S30" s="249">
        <f>IF('NW - E4'!F19=0,0,IF('NW - E4'!F19&gt;=0,'NW - E4'!F19))</f>
        <v>0</v>
      </c>
      <c r="T30" s="206" t="str">
        <f t="shared" si="9"/>
        <v/>
      </c>
      <c r="U30" s="250">
        <f t="shared" si="10"/>
        <v>0</v>
      </c>
      <c r="V30" s="249">
        <f>IF('NW - E4'!E19=0,0,IF('NW - E4'!E19&gt;=0,'NW - E4'!E19))</f>
        <v>0</v>
      </c>
      <c r="W30" s="206" t="str">
        <f t="shared" si="11"/>
        <v/>
      </c>
      <c r="X30" s="250">
        <f t="shared" si="12"/>
        <v>0</v>
      </c>
      <c r="Y30" s="249">
        <f>IF('NW - E4'!I19=0,0,IF('NW - E4'!I19&gt;=0,'NW - E4'!I19))</f>
        <v>0</v>
      </c>
      <c r="Z30" s="206" t="str">
        <f t="shared" si="13"/>
        <v/>
      </c>
      <c r="AA30" s="250">
        <f t="shared" si="14"/>
        <v>0</v>
      </c>
      <c r="AB30" s="249">
        <f>IF('NW - E4'!H19=0,0,IF('NW - E4'!H19&gt;=0,'NW - E4'!H19))</f>
        <v>0</v>
      </c>
      <c r="AC30" s="206" t="str">
        <f t="shared" si="15"/>
        <v/>
      </c>
      <c r="AD30" s="1" t="str">
        <f t="shared" si="40"/>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1"/>
        <v>0</v>
      </c>
      <c r="AP30" s="106" t="b">
        <f t="shared" si="26"/>
        <v>0</v>
      </c>
      <c r="AQ30" s="106" t="b">
        <f t="shared" si="27"/>
        <v>0</v>
      </c>
      <c r="AR30" s="106" t="b">
        <f t="shared" si="28"/>
        <v>0</v>
      </c>
      <c r="AS30" s="106" t="b">
        <f t="shared" si="29"/>
        <v>0</v>
      </c>
      <c r="AT30" s="148" t="str">
        <f t="shared" si="30"/>
        <v/>
      </c>
      <c r="AU30" s="198" t="e">
        <f t="shared" si="31"/>
        <v>#VALUE!</v>
      </c>
      <c r="AV30" s="204" t="str">
        <f t="shared" si="32"/>
        <v/>
      </c>
      <c r="AW30" s="107" t="str">
        <f t="shared" si="33"/>
        <v/>
      </c>
      <c r="AX30" s="108"/>
      <c r="AY30" s="109" t="str">
        <f t="shared" si="34"/>
        <v/>
      </c>
      <c r="AZ30" s="110"/>
      <c r="BA30" s="111" t="str">
        <f t="shared" si="35"/>
        <v/>
      </c>
      <c r="BB30" s="112"/>
      <c r="BC30" s="113" t="str">
        <f t="shared" si="36"/>
        <v/>
      </c>
      <c r="BD30" s="114">
        <f t="shared" si="37"/>
        <v>0</v>
      </c>
      <c r="BE30" s="118"/>
      <c r="BF30" s="113" t="str">
        <f t="shared" si="38"/>
        <v/>
      </c>
      <c r="BG30" s="116">
        <f t="shared" si="39"/>
        <v>0</v>
      </c>
    </row>
    <row r="31" spans="1:59" ht="15" customHeight="1" x14ac:dyDescent="0.2">
      <c r="A31">
        <v>15</v>
      </c>
      <c r="B31" s="186">
        <f>BEGINBLAD!B20</f>
        <v>0</v>
      </c>
      <c r="C31" s="110" t="str">
        <f>IF('RIO - M4'!C31="","",IF('RIO - M4'!C31&gt;"",'RIO - M4'!C31))</f>
        <v/>
      </c>
      <c r="D31" s="149" t="str">
        <f>IF('NW - E4'!N20="","",IF('NW - E4'!N20="A+","A",IF('NW - E4'!N20="A","A",IF('NW - E4'!N20="B","B",IF('NW - E4'!N20="C","C",IF('NW - E4'!N20="C-","C",IF('NW - E4'!N20="D","D",IF('NW - E4'!N20="E","E"))))))))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E4'!D20=0,0,IF('NW - E4'!D20&gt;=0,'NW - E4'!D20))</f>
        <v>0</v>
      </c>
      <c r="Q31" s="206" t="str">
        <f t="shared" si="7"/>
        <v/>
      </c>
      <c r="R31" s="250">
        <f t="shared" si="8"/>
        <v>0</v>
      </c>
      <c r="S31" s="249">
        <f>IF('NW - E4'!F20=0,0,IF('NW - E4'!F20&gt;=0,'NW - E4'!F20))</f>
        <v>0</v>
      </c>
      <c r="T31" s="206" t="str">
        <f t="shared" si="9"/>
        <v/>
      </c>
      <c r="U31" s="250">
        <f t="shared" si="10"/>
        <v>0</v>
      </c>
      <c r="V31" s="249">
        <f>IF('NW - E4'!E20=0,0,IF('NW - E4'!E20&gt;=0,'NW - E4'!E20))</f>
        <v>0</v>
      </c>
      <c r="W31" s="206" t="str">
        <f t="shared" si="11"/>
        <v/>
      </c>
      <c r="X31" s="250">
        <f t="shared" si="12"/>
        <v>0</v>
      </c>
      <c r="Y31" s="249">
        <f>IF('NW - E4'!I20=0,0,IF('NW - E4'!I20&gt;=0,'NW - E4'!I20))</f>
        <v>0</v>
      </c>
      <c r="Z31" s="206" t="str">
        <f t="shared" si="13"/>
        <v/>
      </c>
      <c r="AA31" s="250">
        <f t="shared" si="14"/>
        <v>0</v>
      </c>
      <c r="AB31" s="249">
        <f>IF('NW - E4'!H20=0,0,IF('NW - E4'!H20&gt;=0,'NW - E4'!H20))</f>
        <v>0</v>
      </c>
      <c r="AC31" s="206" t="str">
        <f t="shared" si="15"/>
        <v/>
      </c>
      <c r="AD31" s="1" t="str">
        <f t="shared" si="40"/>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1"/>
        <v>0</v>
      </c>
      <c r="AP31" s="106" t="b">
        <f t="shared" si="26"/>
        <v>0</v>
      </c>
      <c r="AQ31" s="106" t="b">
        <f t="shared" si="27"/>
        <v>0</v>
      </c>
      <c r="AR31" s="106" t="b">
        <f t="shared" si="28"/>
        <v>0</v>
      </c>
      <c r="AS31" s="106" t="b">
        <f t="shared" si="29"/>
        <v>0</v>
      </c>
      <c r="AT31" s="148" t="str">
        <f t="shared" si="30"/>
        <v/>
      </c>
      <c r="AU31" s="198" t="e">
        <f t="shared" si="31"/>
        <v>#VALUE!</v>
      </c>
      <c r="AV31" s="204" t="str">
        <f t="shared" si="32"/>
        <v/>
      </c>
      <c r="AW31" s="107" t="str">
        <f t="shared" si="33"/>
        <v/>
      </c>
      <c r="AX31" s="108"/>
      <c r="AY31" s="109" t="str">
        <f t="shared" si="34"/>
        <v/>
      </c>
      <c r="AZ31" s="110"/>
      <c r="BA31" s="111" t="str">
        <f t="shared" si="35"/>
        <v/>
      </c>
      <c r="BB31" s="112"/>
      <c r="BC31" s="113" t="str">
        <f t="shared" si="36"/>
        <v/>
      </c>
      <c r="BD31" s="114">
        <f t="shared" si="37"/>
        <v>0</v>
      </c>
      <c r="BE31" s="118"/>
      <c r="BF31" s="113" t="str">
        <f t="shared" si="38"/>
        <v/>
      </c>
      <c r="BG31" s="116">
        <f t="shared" si="39"/>
        <v>0</v>
      </c>
    </row>
    <row r="32" spans="1:59" ht="15" customHeight="1" x14ac:dyDescent="0.2">
      <c r="A32">
        <v>16</v>
      </c>
      <c r="B32" s="187">
        <f>BEGINBLAD!B21</f>
        <v>0</v>
      </c>
      <c r="C32" s="110" t="str">
        <f>IF('RIO - M4'!C32="","",IF('RIO - M4'!C32&gt;"",'RIO - M4'!C32))</f>
        <v/>
      </c>
      <c r="D32" s="149" t="str">
        <f>IF('NW - E4'!N21="","",IF('NW - E4'!N21="A+","A",IF('NW - E4'!N21="A","A",IF('NW - E4'!N21="B","B",IF('NW - E4'!N21="C","C",IF('NW - E4'!N21="C-","C",IF('NW - E4'!N21="D","D",IF('NW - E4'!N21="E","E"))))))))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E4'!D21=0,0,IF('NW - E4'!D21&gt;=0,'NW - E4'!D21))</f>
        <v>0</v>
      </c>
      <c r="Q32" s="206" t="str">
        <f t="shared" si="7"/>
        <v/>
      </c>
      <c r="R32" s="250">
        <f t="shared" si="8"/>
        <v>0</v>
      </c>
      <c r="S32" s="249">
        <f>IF('NW - E4'!F21=0,0,IF('NW - E4'!F21&gt;=0,'NW - E4'!F21))</f>
        <v>0</v>
      </c>
      <c r="T32" s="206" t="str">
        <f t="shared" si="9"/>
        <v/>
      </c>
      <c r="U32" s="250">
        <f t="shared" si="10"/>
        <v>0</v>
      </c>
      <c r="V32" s="249">
        <f>IF('NW - E4'!E21=0,0,IF('NW - E4'!E21&gt;=0,'NW - E4'!E21))</f>
        <v>0</v>
      </c>
      <c r="W32" s="206" t="str">
        <f t="shared" si="11"/>
        <v/>
      </c>
      <c r="X32" s="250">
        <f t="shared" si="12"/>
        <v>0</v>
      </c>
      <c r="Y32" s="249">
        <f>IF('NW - E4'!I21=0,0,IF('NW - E4'!I21&gt;=0,'NW - E4'!I21))</f>
        <v>0</v>
      </c>
      <c r="Z32" s="206" t="str">
        <f t="shared" si="13"/>
        <v/>
      </c>
      <c r="AA32" s="250">
        <f t="shared" si="14"/>
        <v>0</v>
      </c>
      <c r="AB32" s="249">
        <f>IF('NW - E4'!H21=0,0,IF('NW - E4'!H21&gt;=0,'NW - E4'!H21))</f>
        <v>0</v>
      </c>
      <c r="AC32" s="206" t="str">
        <f t="shared" si="15"/>
        <v/>
      </c>
      <c r="AD32" s="1" t="str">
        <f t="shared" si="40"/>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1"/>
        <v>0</v>
      </c>
      <c r="AP32" s="106" t="b">
        <f t="shared" si="26"/>
        <v>0</v>
      </c>
      <c r="AQ32" s="106" t="b">
        <f t="shared" si="27"/>
        <v>0</v>
      </c>
      <c r="AR32" s="106" t="b">
        <f t="shared" si="28"/>
        <v>0</v>
      </c>
      <c r="AS32" s="106" t="b">
        <f t="shared" si="29"/>
        <v>0</v>
      </c>
      <c r="AT32" s="148" t="str">
        <f t="shared" si="30"/>
        <v/>
      </c>
      <c r="AU32" s="198" t="e">
        <f t="shared" si="31"/>
        <v>#VALUE!</v>
      </c>
      <c r="AV32" s="204" t="str">
        <f t="shared" si="32"/>
        <v/>
      </c>
      <c r="AW32" s="107" t="str">
        <f t="shared" si="33"/>
        <v/>
      </c>
      <c r="AX32" s="108"/>
      <c r="AY32" s="109" t="str">
        <f t="shared" si="34"/>
        <v/>
      </c>
      <c r="AZ32" s="110"/>
      <c r="BA32" s="111" t="str">
        <f t="shared" si="35"/>
        <v/>
      </c>
      <c r="BB32" s="112"/>
      <c r="BC32" s="113" t="str">
        <f t="shared" si="36"/>
        <v/>
      </c>
      <c r="BD32" s="114">
        <f t="shared" si="37"/>
        <v>0</v>
      </c>
      <c r="BE32" s="118"/>
      <c r="BF32" s="113" t="str">
        <f t="shared" si="38"/>
        <v/>
      </c>
      <c r="BG32" s="116">
        <f t="shared" si="39"/>
        <v>0</v>
      </c>
    </row>
    <row r="33" spans="1:59" ht="15" customHeight="1" x14ac:dyDescent="0.2">
      <c r="A33">
        <v>17</v>
      </c>
      <c r="B33" s="187">
        <f>BEGINBLAD!B22</f>
        <v>0</v>
      </c>
      <c r="C33" s="110" t="str">
        <f>IF('RIO - M4'!C33="","",IF('RIO - M4'!C33&gt;"",'RIO - M4'!C33))</f>
        <v/>
      </c>
      <c r="D33" s="149" t="str">
        <f>IF('NW - E4'!N22="","",IF('NW - E4'!N22="A+","A",IF('NW - E4'!N22="A","A",IF('NW - E4'!N22="B","B",IF('NW - E4'!N22="C","C",IF('NW - E4'!N22="C-","C",IF('NW - E4'!N22="D","D",IF('NW - E4'!N22="E","E"))))))))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E4'!D22=0,0,IF('NW - E4'!D22&gt;=0,'NW - E4'!D22))</f>
        <v>0</v>
      </c>
      <c r="Q33" s="206" t="str">
        <f t="shared" si="7"/>
        <v/>
      </c>
      <c r="R33" s="250">
        <f t="shared" si="8"/>
        <v>0</v>
      </c>
      <c r="S33" s="249">
        <f>IF('NW - E4'!F22=0,0,IF('NW - E4'!F22&gt;=0,'NW - E4'!F22))</f>
        <v>0</v>
      </c>
      <c r="T33" s="206" t="str">
        <f t="shared" si="9"/>
        <v/>
      </c>
      <c r="U33" s="250">
        <f t="shared" si="10"/>
        <v>0</v>
      </c>
      <c r="V33" s="249">
        <f>IF('NW - E4'!E22=0,0,IF('NW - E4'!E22&gt;=0,'NW - E4'!E22))</f>
        <v>0</v>
      </c>
      <c r="W33" s="206" t="str">
        <f t="shared" si="11"/>
        <v/>
      </c>
      <c r="X33" s="250">
        <f t="shared" si="12"/>
        <v>0</v>
      </c>
      <c r="Y33" s="249">
        <f>IF('NW - E4'!I22=0,0,IF('NW - E4'!I22&gt;=0,'NW - E4'!I22))</f>
        <v>0</v>
      </c>
      <c r="Z33" s="206" t="str">
        <f t="shared" si="13"/>
        <v/>
      </c>
      <c r="AA33" s="250">
        <f t="shared" si="14"/>
        <v>0</v>
      </c>
      <c r="AB33" s="249">
        <f>IF('NW - E4'!H22=0,0,IF('NW - E4'!H22&gt;=0,'NW - E4'!H22))</f>
        <v>0</v>
      </c>
      <c r="AC33" s="206" t="str">
        <f t="shared" si="15"/>
        <v/>
      </c>
      <c r="AD33" s="1" t="str">
        <f t="shared" si="40"/>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1"/>
        <v>0</v>
      </c>
      <c r="AP33" s="106" t="b">
        <f t="shared" si="26"/>
        <v>0</v>
      </c>
      <c r="AQ33" s="106" t="b">
        <f t="shared" si="27"/>
        <v>0</v>
      </c>
      <c r="AR33" s="106" t="b">
        <f t="shared" si="28"/>
        <v>0</v>
      </c>
      <c r="AS33" s="106" t="b">
        <f t="shared" si="29"/>
        <v>0</v>
      </c>
      <c r="AT33" s="148" t="str">
        <f t="shared" si="30"/>
        <v/>
      </c>
      <c r="AU33" s="198" t="e">
        <f t="shared" si="31"/>
        <v>#VALUE!</v>
      </c>
      <c r="AV33" s="204" t="str">
        <f t="shared" si="32"/>
        <v/>
      </c>
      <c r="AW33" s="107" t="str">
        <f t="shared" si="33"/>
        <v/>
      </c>
      <c r="AX33" s="108"/>
      <c r="AY33" s="109" t="str">
        <f t="shared" si="34"/>
        <v/>
      </c>
      <c r="AZ33" s="110"/>
      <c r="BA33" s="111" t="str">
        <f t="shared" si="35"/>
        <v/>
      </c>
      <c r="BB33" s="112"/>
      <c r="BC33" s="113" t="str">
        <f t="shared" si="36"/>
        <v/>
      </c>
      <c r="BD33" s="114">
        <f t="shared" si="37"/>
        <v>0</v>
      </c>
      <c r="BE33" s="118"/>
      <c r="BF33" s="113" t="str">
        <f t="shared" si="38"/>
        <v/>
      </c>
      <c r="BG33" s="116">
        <f t="shared" si="39"/>
        <v>0</v>
      </c>
    </row>
    <row r="34" spans="1:59" ht="15" customHeight="1" x14ac:dyDescent="0.2">
      <c r="A34">
        <v>18</v>
      </c>
      <c r="B34" s="187">
        <f>BEGINBLAD!B23</f>
        <v>0</v>
      </c>
      <c r="C34" s="110" t="str">
        <f>IF('RIO - M4'!C34="","",IF('RIO - M4'!C34&gt;"",'RIO - M4'!C34))</f>
        <v/>
      </c>
      <c r="D34" s="149" t="str">
        <f>IF('NW - E4'!N23="","",IF('NW - E4'!N23="A+","A",IF('NW - E4'!N23="A","A",IF('NW - E4'!N23="B","B",IF('NW - E4'!N23="C","C",IF('NW - E4'!N23="C-","C",IF('NW - E4'!N23="D","D",IF('NW - E4'!N23="E","E"))))))))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E4'!D23=0,0,IF('NW - E4'!D23&gt;=0,'NW - E4'!D23))</f>
        <v>0</v>
      </c>
      <c r="Q34" s="206" t="str">
        <f t="shared" si="7"/>
        <v/>
      </c>
      <c r="R34" s="250">
        <f t="shared" si="8"/>
        <v>0</v>
      </c>
      <c r="S34" s="249">
        <f>IF('NW - E4'!F23=0,0,IF('NW - E4'!F23&gt;=0,'NW - E4'!F23))</f>
        <v>0</v>
      </c>
      <c r="T34" s="206" t="str">
        <f t="shared" si="9"/>
        <v/>
      </c>
      <c r="U34" s="250">
        <f t="shared" si="10"/>
        <v>0</v>
      </c>
      <c r="V34" s="249">
        <f>IF('NW - E4'!E23=0,0,IF('NW - E4'!E23&gt;=0,'NW - E4'!E23))</f>
        <v>0</v>
      </c>
      <c r="W34" s="206" t="str">
        <f t="shared" si="11"/>
        <v/>
      </c>
      <c r="X34" s="250">
        <f t="shared" si="12"/>
        <v>0</v>
      </c>
      <c r="Y34" s="249">
        <f>IF('NW - E4'!I23=0,0,IF('NW - E4'!I23&gt;=0,'NW - E4'!I23))</f>
        <v>0</v>
      </c>
      <c r="Z34" s="206" t="str">
        <f t="shared" si="13"/>
        <v/>
      </c>
      <c r="AA34" s="250">
        <f t="shared" si="14"/>
        <v>0</v>
      </c>
      <c r="AB34" s="249">
        <f>IF('NW - E4'!H23=0,0,IF('NW - E4'!H23&gt;=0,'NW - E4'!H23))</f>
        <v>0</v>
      </c>
      <c r="AC34" s="206" t="str">
        <f t="shared" si="15"/>
        <v/>
      </c>
      <c r="AD34" s="1" t="str">
        <f t="shared" si="40"/>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1"/>
        <v>0</v>
      </c>
      <c r="AP34" s="106" t="b">
        <f t="shared" si="26"/>
        <v>0</v>
      </c>
      <c r="AQ34" s="106" t="b">
        <f t="shared" si="27"/>
        <v>0</v>
      </c>
      <c r="AR34" s="106" t="b">
        <f t="shared" si="28"/>
        <v>0</v>
      </c>
      <c r="AS34" s="106" t="b">
        <f t="shared" si="29"/>
        <v>0</v>
      </c>
      <c r="AT34" s="148" t="str">
        <f t="shared" si="30"/>
        <v/>
      </c>
      <c r="AU34" s="198" t="e">
        <f t="shared" si="31"/>
        <v>#VALUE!</v>
      </c>
      <c r="AV34" s="204" t="str">
        <f t="shared" si="32"/>
        <v/>
      </c>
      <c r="AW34" s="107" t="str">
        <f t="shared" si="33"/>
        <v/>
      </c>
      <c r="AX34" s="108"/>
      <c r="AY34" s="109" t="str">
        <f t="shared" si="34"/>
        <v/>
      </c>
      <c r="AZ34" s="110"/>
      <c r="BA34" s="111" t="str">
        <f t="shared" si="35"/>
        <v/>
      </c>
      <c r="BB34" s="112"/>
      <c r="BC34" s="113" t="str">
        <f t="shared" si="36"/>
        <v/>
      </c>
      <c r="BD34" s="114">
        <f t="shared" si="37"/>
        <v>0</v>
      </c>
      <c r="BE34" s="118"/>
      <c r="BF34" s="113" t="str">
        <f t="shared" si="38"/>
        <v/>
      </c>
      <c r="BG34" s="116">
        <f t="shared" si="39"/>
        <v>0</v>
      </c>
    </row>
    <row r="35" spans="1:59" ht="15" customHeight="1" x14ac:dyDescent="0.2">
      <c r="A35">
        <v>19</v>
      </c>
      <c r="B35" s="187">
        <f>BEGINBLAD!B24</f>
        <v>0</v>
      </c>
      <c r="C35" s="110" t="str">
        <f>IF('RIO - M4'!C35="","",IF('RIO - M4'!C35&gt;"",'RIO - M4'!C35))</f>
        <v/>
      </c>
      <c r="D35" s="149" t="str">
        <f>IF('NW - E4'!N24="","",IF('NW - E4'!N24="A+","A",IF('NW - E4'!N24="A","A",IF('NW - E4'!N24="B","B",IF('NW - E4'!N24="C","C",IF('NW - E4'!N24="C-","C",IF('NW - E4'!N24="D","D",IF('NW - E4'!N24="E","E"))))))))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E4'!D24=0,0,IF('NW - E4'!D24&gt;=0,'NW - E4'!D24))</f>
        <v>0</v>
      </c>
      <c r="Q35" s="206" t="str">
        <f t="shared" si="7"/>
        <v/>
      </c>
      <c r="R35" s="250">
        <f t="shared" si="8"/>
        <v>0</v>
      </c>
      <c r="S35" s="249">
        <f>IF('NW - E4'!F24=0,0,IF('NW - E4'!F24&gt;=0,'NW - E4'!F24))</f>
        <v>0</v>
      </c>
      <c r="T35" s="206" t="str">
        <f t="shared" si="9"/>
        <v/>
      </c>
      <c r="U35" s="250">
        <f t="shared" si="10"/>
        <v>0</v>
      </c>
      <c r="V35" s="249">
        <f>IF('NW - E4'!E24=0,0,IF('NW - E4'!E24&gt;=0,'NW - E4'!E24))</f>
        <v>0</v>
      </c>
      <c r="W35" s="206" t="str">
        <f t="shared" si="11"/>
        <v/>
      </c>
      <c r="X35" s="250">
        <f t="shared" si="12"/>
        <v>0</v>
      </c>
      <c r="Y35" s="249">
        <f>IF('NW - E4'!I24=0,0,IF('NW - E4'!I24&gt;=0,'NW - E4'!I24))</f>
        <v>0</v>
      </c>
      <c r="Z35" s="206" t="str">
        <f t="shared" si="13"/>
        <v/>
      </c>
      <c r="AA35" s="250">
        <f t="shared" si="14"/>
        <v>0</v>
      </c>
      <c r="AB35" s="249">
        <f>IF('NW - E4'!H24=0,0,IF('NW - E4'!H24&gt;=0,'NW - E4'!H24))</f>
        <v>0</v>
      </c>
      <c r="AC35" s="206" t="str">
        <f t="shared" si="15"/>
        <v/>
      </c>
      <c r="AD35" s="1" t="str">
        <f t="shared" si="40"/>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1"/>
        <v>0</v>
      </c>
      <c r="AP35" s="106" t="b">
        <f t="shared" si="26"/>
        <v>0</v>
      </c>
      <c r="AQ35" s="106" t="b">
        <f t="shared" si="27"/>
        <v>0</v>
      </c>
      <c r="AR35" s="106" t="b">
        <f t="shared" si="28"/>
        <v>0</v>
      </c>
      <c r="AS35" s="106" t="b">
        <f t="shared" si="29"/>
        <v>0</v>
      </c>
      <c r="AT35" s="148" t="str">
        <f t="shared" si="30"/>
        <v/>
      </c>
      <c r="AU35" s="198" t="e">
        <f t="shared" si="31"/>
        <v>#VALUE!</v>
      </c>
      <c r="AV35" s="204" t="str">
        <f t="shared" si="32"/>
        <v/>
      </c>
      <c r="AW35" s="107" t="str">
        <f t="shared" si="33"/>
        <v/>
      </c>
      <c r="AX35" s="108"/>
      <c r="AY35" s="109" t="str">
        <f t="shared" si="34"/>
        <v/>
      </c>
      <c r="AZ35" s="110"/>
      <c r="BA35" s="111" t="str">
        <f t="shared" si="35"/>
        <v/>
      </c>
      <c r="BB35" s="112"/>
      <c r="BC35" s="113" t="str">
        <f t="shared" si="36"/>
        <v/>
      </c>
      <c r="BD35" s="114">
        <f t="shared" si="37"/>
        <v>0</v>
      </c>
      <c r="BE35" s="118"/>
      <c r="BF35" s="113" t="str">
        <f t="shared" si="38"/>
        <v/>
      </c>
      <c r="BG35" s="116">
        <f t="shared" si="39"/>
        <v>0</v>
      </c>
    </row>
    <row r="36" spans="1:59" ht="15" customHeight="1" x14ac:dyDescent="0.2">
      <c r="A36">
        <v>20</v>
      </c>
      <c r="B36" s="187">
        <f>BEGINBLAD!B25</f>
        <v>0</v>
      </c>
      <c r="C36" s="110" t="str">
        <f>IF('RIO - M4'!C36="","",IF('RIO - M4'!C36&gt;"",'RIO - M4'!C36))</f>
        <v/>
      </c>
      <c r="D36" s="149" t="str">
        <f>IF('NW - E4'!N25="","",IF('NW - E4'!N25="A+","A",IF('NW - E4'!N25="A","A",IF('NW - E4'!N25="B","B",IF('NW - E4'!N25="C","C",IF('NW - E4'!N25="C-","C",IF('NW - E4'!N25="D","D",IF('NW - E4'!N25="E","E"))))))))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E4'!D25=0,0,IF('NW - E4'!D25&gt;=0,'NW - E4'!D25))</f>
        <v>0</v>
      </c>
      <c r="Q36" s="206" t="str">
        <f t="shared" si="7"/>
        <v/>
      </c>
      <c r="R36" s="250">
        <f t="shared" si="8"/>
        <v>0</v>
      </c>
      <c r="S36" s="249">
        <f>IF('NW - E4'!F25=0,0,IF('NW - E4'!F25&gt;=0,'NW - E4'!F25))</f>
        <v>0</v>
      </c>
      <c r="T36" s="206" t="str">
        <f t="shared" si="9"/>
        <v/>
      </c>
      <c r="U36" s="250">
        <f t="shared" si="10"/>
        <v>0</v>
      </c>
      <c r="V36" s="249">
        <f>IF('NW - E4'!E25=0,0,IF('NW - E4'!E25&gt;=0,'NW - E4'!E25))</f>
        <v>0</v>
      </c>
      <c r="W36" s="206" t="str">
        <f t="shared" si="11"/>
        <v/>
      </c>
      <c r="X36" s="250">
        <f t="shared" si="12"/>
        <v>0</v>
      </c>
      <c r="Y36" s="249">
        <f>IF('NW - E4'!I25=0,0,IF('NW - E4'!I25&gt;=0,'NW - E4'!I25))</f>
        <v>0</v>
      </c>
      <c r="Z36" s="206" t="str">
        <f t="shared" si="13"/>
        <v/>
      </c>
      <c r="AA36" s="250">
        <f t="shared" si="14"/>
        <v>0</v>
      </c>
      <c r="AB36" s="249">
        <f>IF('NW - E4'!H25=0,0,IF('NW - E4'!H25&gt;=0,'NW - E4'!H25))</f>
        <v>0</v>
      </c>
      <c r="AC36" s="206" t="str">
        <f t="shared" si="15"/>
        <v/>
      </c>
      <c r="AD36" s="1" t="str">
        <f t="shared" si="40"/>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1"/>
        <v>0</v>
      </c>
      <c r="AP36" s="106" t="b">
        <f t="shared" si="26"/>
        <v>0</v>
      </c>
      <c r="AQ36" s="106" t="b">
        <f t="shared" si="27"/>
        <v>0</v>
      </c>
      <c r="AR36" s="106" t="b">
        <f t="shared" si="28"/>
        <v>0</v>
      </c>
      <c r="AS36" s="106" t="b">
        <f t="shared" si="29"/>
        <v>0</v>
      </c>
      <c r="AT36" s="148" t="str">
        <f t="shared" si="30"/>
        <v/>
      </c>
      <c r="AU36" s="198" t="e">
        <f t="shared" si="31"/>
        <v>#VALUE!</v>
      </c>
      <c r="AV36" s="204" t="str">
        <f t="shared" si="32"/>
        <v/>
      </c>
      <c r="AW36" s="107" t="str">
        <f t="shared" si="33"/>
        <v/>
      </c>
      <c r="AX36" s="108"/>
      <c r="AY36" s="109" t="str">
        <f t="shared" si="34"/>
        <v/>
      </c>
      <c r="AZ36" s="110"/>
      <c r="BA36" s="111" t="str">
        <f t="shared" si="35"/>
        <v/>
      </c>
      <c r="BB36" s="112"/>
      <c r="BC36" s="113" t="str">
        <f t="shared" si="36"/>
        <v/>
      </c>
      <c r="BD36" s="114">
        <f t="shared" si="37"/>
        <v>0</v>
      </c>
      <c r="BE36" s="118"/>
      <c r="BF36" s="113" t="str">
        <f t="shared" si="38"/>
        <v/>
      </c>
      <c r="BG36" s="116">
        <f t="shared" si="39"/>
        <v>0</v>
      </c>
    </row>
    <row r="37" spans="1:59" ht="15" customHeight="1" x14ac:dyDescent="0.2">
      <c r="A37">
        <v>21</v>
      </c>
      <c r="B37" s="187">
        <f>BEGINBLAD!B26</f>
        <v>0</v>
      </c>
      <c r="C37" s="110" t="str">
        <f>IF('RIO - M4'!C37="","",IF('RIO - M4'!C37&gt;"",'RIO - M4'!C37))</f>
        <v/>
      </c>
      <c r="D37" s="149" t="str">
        <f>IF('NW - E4'!N26="","",IF('NW - E4'!N26="A+","A",IF('NW - E4'!N26="A","A",IF('NW - E4'!N26="B","B",IF('NW - E4'!N26="C","C",IF('NW - E4'!N26="C-","C",IF('NW - E4'!N26="D","D",IF('NW - E4'!N26="E","E"))))))))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E4'!D26=0,0,IF('NW - E4'!D26&gt;=0,'NW - E4'!D26))</f>
        <v>0</v>
      </c>
      <c r="Q37" s="206" t="str">
        <f t="shared" si="7"/>
        <v/>
      </c>
      <c r="R37" s="250">
        <f t="shared" si="8"/>
        <v>0</v>
      </c>
      <c r="S37" s="249">
        <f>IF('NW - E4'!F26=0,0,IF('NW - E4'!F26&gt;=0,'NW - E4'!F26))</f>
        <v>0</v>
      </c>
      <c r="T37" s="206" t="str">
        <f t="shared" si="9"/>
        <v/>
      </c>
      <c r="U37" s="250">
        <f t="shared" si="10"/>
        <v>0</v>
      </c>
      <c r="V37" s="249">
        <f>IF('NW - E4'!E26=0,0,IF('NW - E4'!E26&gt;=0,'NW - E4'!E26))</f>
        <v>0</v>
      </c>
      <c r="W37" s="206" t="str">
        <f t="shared" si="11"/>
        <v/>
      </c>
      <c r="X37" s="250">
        <f t="shared" si="12"/>
        <v>0</v>
      </c>
      <c r="Y37" s="249">
        <f>IF('NW - E4'!I26=0,0,IF('NW - E4'!I26&gt;=0,'NW - E4'!I26))</f>
        <v>0</v>
      </c>
      <c r="Z37" s="206" t="str">
        <f t="shared" si="13"/>
        <v/>
      </c>
      <c r="AA37" s="250">
        <f t="shared" si="14"/>
        <v>0</v>
      </c>
      <c r="AB37" s="249">
        <f>IF('NW - E4'!H26=0,0,IF('NW - E4'!H26&gt;=0,'NW - E4'!H26))</f>
        <v>0</v>
      </c>
      <c r="AC37" s="206" t="str">
        <f t="shared" si="15"/>
        <v/>
      </c>
      <c r="AD37" s="1" t="str">
        <f t="shared" si="40"/>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1"/>
        <v>0</v>
      </c>
      <c r="AP37" s="106" t="b">
        <f t="shared" si="26"/>
        <v>0</v>
      </c>
      <c r="AQ37" s="106" t="b">
        <f t="shared" si="27"/>
        <v>0</v>
      </c>
      <c r="AR37" s="106" t="b">
        <f t="shared" si="28"/>
        <v>0</v>
      </c>
      <c r="AS37" s="106" t="b">
        <f t="shared" si="29"/>
        <v>0</v>
      </c>
      <c r="AT37" s="148" t="str">
        <f t="shared" si="30"/>
        <v/>
      </c>
      <c r="AU37" s="198" t="e">
        <f t="shared" si="31"/>
        <v>#VALUE!</v>
      </c>
      <c r="AV37" s="204" t="str">
        <f t="shared" si="32"/>
        <v/>
      </c>
      <c r="AW37" s="107" t="str">
        <f t="shared" si="33"/>
        <v/>
      </c>
      <c r="AX37" s="108"/>
      <c r="AY37" s="109" t="str">
        <f t="shared" si="34"/>
        <v/>
      </c>
      <c r="AZ37" s="110"/>
      <c r="BA37" s="111" t="str">
        <f t="shared" si="35"/>
        <v/>
      </c>
      <c r="BB37" s="112"/>
      <c r="BC37" s="113" t="str">
        <f t="shared" si="36"/>
        <v/>
      </c>
      <c r="BD37" s="114">
        <f t="shared" si="37"/>
        <v>0</v>
      </c>
      <c r="BE37" s="118"/>
      <c r="BF37" s="113" t="str">
        <f t="shared" si="38"/>
        <v/>
      </c>
      <c r="BG37" s="116">
        <f t="shared" si="39"/>
        <v>0</v>
      </c>
    </row>
    <row r="38" spans="1:59" ht="15" customHeight="1" x14ac:dyDescent="0.2">
      <c r="A38">
        <v>22</v>
      </c>
      <c r="B38" s="187">
        <f>BEGINBLAD!B27</f>
        <v>0</v>
      </c>
      <c r="C38" s="110" t="str">
        <f>IF('RIO - M4'!C38="","",IF('RIO - M4'!C38&gt;"",'RIO - M4'!C38))</f>
        <v/>
      </c>
      <c r="D38" s="149" t="str">
        <f>IF('NW - E4'!N27="","",IF('NW - E4'!N27="A+","A",IF('NW - E4'!N27="A","A",IF('NW - E4'!N27="B","B",IF('NW - E4'!N27="C","C",IF('NW - E4'!N27="C-","C",IF('NW - E4'!N27="D","D",IF('NW - E4'!N27="E","E"))))))))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E4'!D27=0,0,IF('NW - E4'!D27&gt;=0,'NW - E4'!D27))</f>
        <v>0</v>
      </c>
      <c r="Q38" s="206" t="str">
        <f t="shared" si="7"/>
        <v/>
      </c>
      <c r="R38" s="250">
        <f t="shared" si="8"/>
        <v>0</v>
      </c>
      <c r="S38" s="249">
        <f>IF('NW - E4'!F27=0,0,IF('NW - E4'!F27&gt;=0,'NW - E4'!F27))</f>
        <v>0</v>
      </c>
      <c r="T38" s="206" t="str">
        <f t="shared" si="9"/>
        <v/>
      </c>
      <c r="U38" s="250">
        <f t="shared" si="10"/>
        <v>0</v>
      </c>
      <c r="V38" s="249">
        <f>IF('NW - E4'!E27=0,0,IF('NW - E4'!E27&gt;=0,'NW - E4'!E27))</f>
        <v>0</v>
      </c>
      <c r="W38" s="206" t="str">
        <f t="shared" si="11"/>
        <v/>
      </c>
      <c r="X38" s="250">
        <f t="shared" si="12"/>
        <v>0</v>
      </c>
      <c r="Y38" s="249">
        <f>IF('NW - E4'!I27=0,0,IF('NW - E4'!I27&gt;=0,'NW - E4'!I27))</f>
        <v>0</v>
      </c>
      <c r="Z38" s="206" t="str">
        <f t="shared" si="13"/>
        <v/>
      </c>
      <c r="AA38" s="250">
        <f t="shared" si="14"/>
        <v>0</v>
      </c>
      <c r="AB38" s="249">
        <f>IF('NW - E4'!H27=0,0,IF('NW - E4'!H27&gt;=0,'NW - E4'!H27))</f>
        <v>0</v>
      </c>
      <c r="AC38" s="206" t="str">
        <f t="shared" si="15"/>
        <v/>
      </c>
      <c r="AD38" s="1" t="str">
        <f t="shared" si="40"/>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1"/>
        <v>0</v>
      </c>
      <c r="AP38" s="106" t="b">
        <f t="shared" si="26"/>
        <v>0</v>
      </c>
      <c r="AQ38" s="106" t="b">
        <f t="shared" si="27"/>
        <v>0</v>
      </c>
      <c r="AR38" s="106" t="b">
        <f t="shared" si="28"/>
        <v>0</v>
      </c>
      <c r="AS38" s="106" t="b">
        <f t="shared" si="29"/>
        <v>0</v>
      </c>
      <c r="AT38" s="148" t="str">
        <f t="shared" si="30"/>
        <v/>
      </c>
      <c r="AU38" s="198" t="e">
        <f t="shared" si="31"/>
        <v>#VALUE!</v>
      </c>
      <c r="AV38" s="204" t="str">
        <f t="shared" si="32"/>
        <v/>
      </c>
      <c r="AW38" s="107" t="str">
        <f t="shared" si="33"/>
        <v/>
      </c>
      <c r="AX38" s="108"/>
      <c r="AY38" s="109" t="str">
        <f t="shared" si="34"/>
        <v/>
      </c>
      <c r="AZ38" s="110"/>
      <c r="BA38" s="111" t="str">
        <f t="shared" si="35"/>
        <v/>
      </c>
      <c r="BB38" s="112"/>
      <c r="BC38" s="113" t="str">
        <f t="shared" si="36"/>
        <v/>
      </c>
      <c r="BD38" s="114">
        <f t="shared" si="37"/>
        <v>0</v>
      </c>
      <c r="BE38" s="118"/>
      <c r="BF38" s="113" t="str">
        <f t="shared" si="38"/>
        <v/>
      </c>
      <c r="BG38" s="116">
        <f t="shared" si="39"/>
        <v>0</v>
      </c>
    </row>
    <row r="39" spans="1:59" ht="15" customHeight="1" x14ac:dyDescent="0.2">
      <c r="A39">
        <v>23</v>
      </c>
      <c r="B39" s="187">
        <f>BEGINBLAD!B28</f>
        <v>0</v>
      </c>
      <c r="C39" s="110" t="str">
        <f>IF('RIO - M4'!C39="","",IF('RIO - M4'!C39&gt;"",'RIO - M4'!C39))</f>
        <v/>
      </c>
      <c r="D39" s="149" t="str">
        <f>IF('NW - E4'!N28="","",IF('NW - E4'!N28="A+","A",IF('NW - E4'!N28="A","A",IF('NW - E4'!N28="B","B",IF('NW - E4'!N28="C","C",IF('NW - E4'!N28="C-","C",IF('NW - E4'!N28="D","D",IF('NW - E4'!N28="E","E"))))))))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E4'!D28=0,0,IF('NW - E4'!D28&gt;=0,'NW - E4'!D28))</f>
        <v>0</v>
      </c>
      <c r="Q39" s="206" t="str">
        <f t="shared" si="7"/>
        <v/>
      </c>
      <c r="R39" s="250">
        <f t="shared" si="8"/>
        <v>0</v>
      </c>
      <c r="S39" s="249">
        <f>IF('NW - E4'!F28=0,0,IF('NW - E4'!F28&gt;=0,'NW - E4'!F28))</f>
        <v>0</v>
      </c>
      <c r="T39" s="206" t="str">
        <f t="shared" si="9"/>
        <v/>
      </c>
      <c r="U39" s="250">
        <f t="shared" si="10"/>
        <v>0</v>
      </c>
      <c r="V39" s="249">
        <f>IF('NW - E4'!E28=0,0,IF('NW - E4'!E28&gt;=0,'NW - E4'!E28))</f>
        <v>0</v>
      </c>
      <c r="W39" s="206" t="str">
        <f t="shared" si="11"/>
        <v/>
      </c>
      <c r="X39" s="250">
        <f t="shared" si="12"/>
        <v>0</v>
      </c>
      <c r="Y39" s="249">
        <f>IF('NW - E4'!I28=0,0,IF('NW - E4'!I28&gt;=0,'NW - E4'!I28))</f>
        <v>0</v>
      </c>
      <c r="Z39" s="206" t="str">
        <f t="shared" si="13"/>
        <v/>
      </c>
      <c r="AA39" s="250">
        <f t="shared" si="14"/>
        <v>0</v>
      </c>
      <c r="AB39" s="249">
        <f>IF('NW - E4'!H28=0,0,IF('NW - E4'!H28&gt;=0,'NW - E4'!H28))</f>
        <v>0</v>
      </c>
      <c r="AC39" s="206" t="str">
        <f t="shared" si="15"/>
        <v/>
      </c>
      <c r="AD39" s="1" t="str">
        <f t="shared" si="40"/>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1"/>
        <v>0</v>
      </c>
      <c r="AP39" s="106" t="b">
        <f t="shared" si="26"/>
        <v>0</v>
      </c>
      <c r="AQ39" s="106" t="b">
        <f t="shared" si="27"/>
        <v>0</v>
      </c>
      <c r="AR39" s="106" t="b">
        <f t="shared" si="28"/>
        <v>0</v>
      </c>
      <c r="AS39" s="106" t="b">
        <f t="shared" si="29"/>
        <v>0</v>
      </c>
      <c r="AT39" s="148" t="str">
        <f t="shared" si="30"/>
        <v/>
      </c>
      <c r="AU39" s="198" t="e">
        <f t="shared" si="31"/>
        <v>#VALUE!</v>
      </c>
      <c r="AV39" s="204" t="str">
        <f t="shared" si="32"/>
        <v/>
      </c>
      <c r="AW39" s="107" t="str">
        <f t="shared" si="33"/>
        <v/>
      </c>
      <c r="AX39" s="108"/>
      <c r="AY39" s="109" t="str">
        <f t="shared" si="34"/>
        <v/>
      </c>
      <c r="AZ39" s="110"/>
      <c r="BA39" s="111" t="str">
        <f t="shared" si="35"/>
        <v/>
      </c>
      <c r="BB39" s="112"/>
      <c r="BC39" s="113" t="str">
        <f t="shared" si="36"/>
        <v/>
      </c>
      <c r="BD39" s="114">
        <f t="shared" si="37"/>
        <v>0</v>
      </c>
      <c r="BE39" s="118"/>
      <c r="BF39" s="113" t="str">
        <f t="shared" si="38"/>
        <v/>
      </c>
      <c r="BG39" s="116">
        <f t="shared" si="39"/>
        <v>0</v>
      </c>
    </row>
    <row r="40" spans="1:59" ht="15" customHeight="1" x14ac:dyDescent="0.2">
      <c r="A40">
        <v>24</v>
      </c>
      <c r="B40" s="187">
        <f>BEGINBLAD!B29</f>
        <v>0</v>
      </c>
      <c r="C40" s="110" t="str">
        <f>IF('RIO - M4'!C40="","",IF('RIO - M4'!C40&gt;"",'RIO - M4'!C40))</f>
        <v/>
      </c>
      <c r="D40" s="149" t="str">
        <f>IF('NW - E4'!N29="","",IF('NW - E4'!N29="A+","A",IF('NW - E4'!N29="A","A",IF('NW - E4'!N29="B","B",IF('NW - E4'!N29="C","C",IF('NW - E4'!N29="C-","C",IF('NW - E4'!N29="D","D",IF('NW - E4'!N29="E","E"))))))))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E4'!D29=0,0,IF('NW - E4'!D29&gt;=0,'NW - E4'!D29))</f>
        <v>0</v>
      </c>
      <c r="Q40" s="206" t="str">
        <f t="shared" si="7"/>
        <v/>
      </c>
      <c r="R40" s="250">
        <f t="shared" si="8"/>
        <v>0</v>
      </c>
      <c r="S40" s="249">
        <f>IF('NW - E4'!F29=0,0,IF('NW - E4'!F29&gt;=0,'NW - E4'!F29))</f>
        <v>0</v>
      </c>
      <c r="T40" s="206" t="str">
        <f t="shared" si="9"/>
        <v/>
      </c>
      <c r="U40" s="250">
        <f t="shared" si="10"/>
        <v>0</v>
      </c>
      <c r="V40" s="249">
        <f>IF('NW - E4'!E29=0,0,IF('NW - E4'!E29&gt;=0,'NW - E4'!E29))</f>
        <v>0</v>
      </c>
      <c r="W40" s="206" t="str">
        <f t="shared" si="11"/>
        <v/>
      </c>
      <c r="X40" s="250">
        <f t="shared" si="12"/>
        <v>0</v>
      </c>
      <c r="Y40" s="249">
        <f>IF('NW - E4'!I29=0,0,IF('NW - E4'!I29&gt;=0,'NW - E4'!I29))</f>
        <v>0</v>
      </c>
      <c r="Z40" s="206" t="str">
        <f t="shared" si="13"/>
        <v/>
      </c>
      <c r="AA40" s="250">
        <f t="shared" si="14"/>
        <v>0</v>
      </c>
      <c r="AB40" s="249">
        <f>IF('NW - E4'!H29=0,0,IF('NW - E4'!H29&gt;=0,'NW - E4'!H29))</f>
        <v>0</v>
      </c>
      <c r="AC40" s="206" t="str">
        <f t="shared" si="15"/>
        <v/>
      </c>
      <c r="AD40" s="1" t="str">
        <f t="shared" si="40"/>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1"/>
        <v>0</v>
      </c>
      <c r="AP40" s="106" t="b">
        <f t="shared" si="26"/>
        <v>0</v>
      </c>
      <c r="AQ40" s="106" t="b">
        <f t="shared" si="27"/>
        <v>0</v>
      </c>
      <c r="AR40" s="106" t="b">
        <f t="shared" si="28"/>
        <v>0</v>
      </c>
      <c r="AS40" s="106" t="b">
        <f t="shared" si="29"/>
        <v>0</v>
      </c>
      <c r="AT40" s="148" t="str">
        <f t="shared" si="30"/>
        <v/>
      </c>
      <c r="AU40" s="198" t="e">
        <f t="shared" si="31"/>
        <v>#VALUE!</v>
      </c>
      <c r="AV40" s="204" t="str">
        <f t="shared" si="32"/>
        <v/>
      </c>
      <c r="AW40" s="107" t="str">
        <f t="shared" si="33"/>
        <v/>
      </c>
      <c r="AX40" s="108"/>
      <c r="AY40" s="109" t="str">
        <f t="shared" si="34"/>
        <v/>
      </c>
      <c r="AZ40" s="110"/>
      <c r="BA40" s="111" t="str">
        <f t="shared" si="35"/>
        <v/>
      </c>
      <c r="BB40" s="112"/>
      <c r="BC40" s="113" t="str">
        <f t="shared" si="36"/>
        <v/>
      </c>
      <c r="BD40" s="114">
        <f t="shared" si="37"/>
        <v>0</v>
      </c>
      <c r="BE40" s="118"/>
      <c r="BF40" s="113" t="str">
        <f t="shared" si="38"/>
        <v/>
      </c>
      <c r="BG40" s="116">
        <f t="shared" si="39"/>
        <v>0</v>
      </c>
    </row>
    <row r="41" spans="1:59" ht="15" customHeight="1" x14ac:dyDescent="0.2">
      <c r="A41">
        <v>25</v>
      </c>
      <c r="B41" s="187">
        <f>BEGINBLAD!B30</f>
        <v>0</v>
      </c>
      <c r="C41" s="110" t="str">
        <f>IF('RIO - M4'!C41="","",IF('RIO - M4'!C41&gt;"",'RIO - M4'!C41))</f>
        <v/>
      </c>
      <c r="D41" s="149" t="str">
        <f>IF('NW - E4'!N30="","",IF('NW - E4'!N30="A+","A",IF('NW - E4'!N30="A","A",IF('NW - E4'!N30="B","B",IF('NW - E4'!N30="C","C",IF('NW - E4'!N30="C-","C",IF('NW - E4'!N30="D","D",IF('NW - E4'!N30="E","E"))))))))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E4'!D30=0,0,IF('NW - E4'!D30&gt;=0,'NW - E4'!D30))</f>
        <v>0</v>
      </c>
      <c r="Q41" s="206" t="str">
        <f t="shared" si="7"/>
        <v/>
      </c>
      <c r="R41" s="250">
        <f t="shared" si="8"/>
        <v>0</v>
      </c>
      <c r="S41" s="249">
        <f>IF('NW - E4'!F30=0,0,IF('NW - E4'!F30&gt;=0,'NW - E4'!F30))</f>
        <v>0</v>
      </c>
      <c r="T41" s="206" t="str">
        <f t="shared" si="9"/>
        <v/>
      </c>
      <c r="U41" s="250">
        <f t="shared" si="10"/>
        <v>0</v>
      </c>
      <c r="V41" s="249">
        <f>IF('NW - E4'!E30=0,0,IF('NW - E4'!E30&gt;=0,'NW - E4'!E30))</f>
        <v>0</v>
      </c>
      <c r="W41" s="206" t="str">
        <f t="shared" si="11"/>
        <v/>
      </c>
      <c r="X41" s="250">
        <f t="shared" si="12"/>
        <v>0</v>
      </c>
      <c r="Y41" s="249">
        <f>IF('NW - E4'!I30=0,0,IF('NW - E4'!I30&gt;=0,'NW - E4'!I30))</f>
        <v>0</v>
      </c>
      <c r="Z41" s="206" t="str">
        <f t="shared" si="13"/>
        <v/>
      </c>
      <c r="AA41" s="250">
        <f t="shared" si="14"/>
        <v>0</v>
      </c>
      <c r="AB41" s="249">
        <f>IF('NW - E4'!H30=0,0,IF('NW - E4'!H30&gt;=0,'NW - E4'!H30))</f>
        <v>0</v>
      </c>
      <c r="AC41" s="206" t="str">
        <f t="shared" si="15"/>
        <v/>
      </c>
      <c r="AD41" s="1" t="str">
        <f t="shared" si="40"/>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1"/>
        <v>0</v>
      </c>
      <c r="AP41" s="106" t="b">
        <f t="shared" si="26"/>
        <v>0</v>
      </c>
      <c r="AQ41" s="106" t="b">
        <f t="shared" si="27"/>
        <v>0</v>
      </c>
      <c r="AR41" s="106" t="b">
        <f t="shared" si="28"/>
        <v>0</v>
      </c>
      <c r="AS41" s="106" t="b">
        <f t="shared" si="29"/>
        <v>0</v>
      </c>
      <c r="AT41" s="148" t="str">
        <f t="shared" si="30"/>
        <v/>
      </c>
      <c r="AU41" s="198" t="e">
        <f t="shared" si="31"/>
        <v>#VALUE!</v>
      </c>
      <c r="AV41" s="204" t="str">
        <f t="shared" si="32"/>
        <v/>
      </c>
      <c r="AW41" s="107" t="str">
        <f t="shared" si="33"/>
        <v/>
      </c>
      <c r="AX41" s="108"/>
      <c r="AY41" s="109" t="str">
        <f t="shared" si="34"/>
        <v/>
      </c>
      <c r="AZ41" s="110"/>
      <c r="BA41" s="111" t="str">
        <f t="shared" si="35"/>
        <v/>
      </c>
      <c r="BB41" s="112"/>
      <c r="BC41" s="113" t="str">
        <f t="shared" si="36"/>
        <v/>
      </c>
      <c r="BD41" s="114">
        <f t="shared" si="37"/>
        <v>0</v>
      </c>
      <c r="BE41" s="118"/>
      <c r="BF41" s="113" t="str">
        <f t="shared" si="38"/>
        <v/>
      </c>
      <c r="BG41" s="116">
        <f t="shared" si="39"/>
        <v>0</v>
      </c>
    </row>
    <row r="42" spans="1:59" ht="15" customHeight="1" x14ac:dyDescent="0.2">
      <c r="A42">
        <v>26</v>
      </c>
      <c r="B42" s="187">
        <f>BEGINBLAD!B31</f>
        <v>0</v>
      </c>
      <c r="C42" s="110" t="str">
        <f>IF('RIO - M4'!C42="","",IF('RIO - M4'!C42&gt;"",'RIO - M4'!C42))</f>
        <v/>
      </c>
      <c r="D42" s="149" t="str">
        <f>IF('NW - E4'!N31="","",IF('NW - E4'!N31="A+","A",IF('NW - E4'!N31="A","A",IF('NW - E4'!N31="B","B",IF('NW - E4'!N31="C","C",IF('NW - E4'!N31="C-","C",IF('NW - E4'!N31="D","D",IF('NW - E4'!N31="E","E"))))))))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E4'!D31=0,0,IF('NW - E4'!D31&gt;=0,'NW - E4'!D31))</f>
        <v>0</v>
      </c>
      <c r="Q42" s="206" t="str">
        <f t="shared" si="7"/>
        <v/>
      </c>
      <c r="R42" s="250">
        <f t="shared" si="8"/>
        <v>0</v>
      </c>
      <c r="S42" s="249">
        <f>IF('NW - E4'!F31=0,0,IF('NW - E4'!F31&gt;=0,'NW - E4'!F31))</f>
        <v>0</v>
      </c>
      <c r="T42" s="206" t="str">
        <f t="shared" si="9"/>
        <v/>
      </c>
      <c r="U42" s="250">
        <f t="shared" si="10"/>
        <v>0</v>
      </c>
      <c r="V42" s="249">
        <f>IF('NW - E4'!E31=0,0,IF('NW - E4'!E31&gt;=0,'NW - E4'!E31))</f>
        <v>0</v>
      </c>
      <c r="W42" s="206" t="str">
        <f t="shared" si="11"/>
        <v/>
      </c>
      <c r="X42" s="250">
        <f t="shared" si="12"/>
        <v>0</v>
      </c>
      <c r="Y42" s="249">
        <f>IF('NW - E4'!I31=0,0,IF('NW - E4'!I31&gt;=0,'NW - E4'!I31))</f>
        <v>0</v>
      </c>
      <c r="Z42" s="206" t="str">
        <f t="shared" si="13"/>
        <v/>
      </c>
      <c r="AA42" s="250">
        <f t="shared" si="14"/>
        <v>0</v>
      </c>
      <c r="AB42" s="249">
        <f>IF('NW - E4'!H31=0,0,IF('NW - E4'!H31&gt;=0,'NW - E4'!H31))</f>
        <v>0</v>
      </c>
      <c r="AC42" s="206" t="str">
        <f t="shared" si="15"/>
        <v/>
      </c>
      <c r="AD42" s="1" t="str">
        <f t="shared" si="40"/>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1"/>
        <v>0</v>
      </c>
      <c r="AP42" s="106" t="b">
        <f t="shared" si="26"/>
        <v>0</v>
      </c>
      <c r="AQ42" s="106" t="b">
        <f t="shared" si="27"/>
        <v>0</v>
      </c>
      <c r="AR42" s="106" t="b">
        <f t="shared" si="28"/>
        <v>0</v>
      </c>
      <c r="AS42" s="106" t="b">
        <f t="shared" si="29"/>
        <v>0</v>
      </c>
      <c r="AT42" s="148" t="str">
        <f t="shared" si="30"/>
        <v/>
      </c>
      <c r="AU42" s="198" t="e">
        <f t="shared" si="31"/>
        <v>#VALUE!</v>
      </c>
      <c r="AV42" s="204" t="str">
        <f t="shared" si="32"/>
        <v/>
      </c>
      <c r="AW42" s="107" t="str">
        <f t="shared" si="33"/>
        <v/>
      </c>
      <c r="AX42" s="119" t="b">
        <f>IF($J$1=3,1,IF($J$1="3A",1,IF($J$1="3B",1,IF($J$1="3C",1))))</f>
        <v>0</v>
      </c>
      <c r="AY42" s="109" t="str">
        <f t="shared" si="34"/>
        <v/>
      </c>
      <c r="AZ42" s="110"/>
      <c r="BA42" s="111" t="str">
        <f t="shared" si="35"/>
        <v/>
      </c>
      <c r="BB42" s="112"/>
      <c r="BC42" s="113" t="str">
        <f t="shared" si="36"/>
        <v/>
      </c>
      <c r="BD42" s="114">
        <f t="shared" si="37"/>
        <v>0</v>
      </c>
      <c r="BE42" s="118"/>
      <c r="BF42" s="113" t="str">
        <f t="shared" si="38"/>
        <v/>
      </c>
      <c r="BG42" s="116">
        <f t="shared" si="39"/>
        <v>0</v>
      </c>
    </row>
    <row r="43" spans="1:59" ht="15" customHeight="1" x14ac:dyDescent="0.2">
      <c r="A43">
        <v>27</v>
      </c>
      <c r="B43" s="187">
        <f>BEGINBLAD!B32</f>
        <v>0</v>
      </c>
      <c r="C43" s="110" t="str">
        <f>IF('RIO - M4'!C43="","",IF('RIO - M4'!C43&gt;"",'RIO - M4'!C43))</f>
        <v/>
      </c>
      <c r="D43" s="149" t="str">
        <f>IF('NW - E4'!N32="","",IF('NW - E4'!N32="A+","A",IF('NW - E4'!N32="A","A",IF('NW - E4'!N32="B","B",IF('NW - E4'!N32="C","C",IF('NW - E4'!N32="C-","C",IF('NW - E4'!N32="D","D",IF('NW - E4'!N32="E","E"))))))))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E4'!D32=0,0,IF('NW - E4'!D32&gt;=0,'NW - E4'!D32))</f>
        <v>0</v>
      </c>
      <c r="Q43" s="206" t="str">
        <f t="shared" si="7"/>
        <v/>
      </c>
      <c r="R43" s="250">
        <f t="shared" si="8"/>
        <v>0</v>
      </c>
      <c r="S43" s="249">
        <f>IF('NW - E4'!F32=0,0,IF('NW - E4'!F32&gt;=0,'NW - E4'!F32))</f>
        <v>0</v>
      </c>
      <c r="T43" s="206" t="str">
        <f t="shared" si="9"/>
        <v/>
      </c>
      <c r="U43" s="250">
        <f t="shared" si="10"/>
        <v>0</v>
      </c>
      <c r="V43" s="249">
        <f>IF('NW - E4'!E32=0,0,IF('NW - E4'!E32&gt;=0,'NW - E4'!E32))</f>
        <v>0</v>
      </c>
      <c r="W43" s="206" t="str">
        <f t="shared" si="11"/>
        <v/>
      </c>
      <c r="X43" s="250">
        <f t="shared" si="12"/>
        <v>0</v>
      </c>
      <c r="Y43" s="249">
        <f>IF('NW - E4'!I32=0,0,IF('NW - E4'!I32&gt;=0,'NW - E4'!I32))</f>
        <v>0</v>
      </c>
      <c r="Z43" s="206" t="str">
        <f t="shared" si="13"/>
        <v/>
      </c>
      <c r="AA43" s="250">
        <f t="shared" si="14"/>
        <v>0</v>
      </c>
      <c r="AB43" s="249">
        <f>IF('NW - E4'!H32=0,0,IF('NW - E4'!H32&gt;=0,'NW - E4'!H32))</f>
        <v>0</v>
      </c>
      <c r="AC43" s="206" t="str">
        <f t="shared" si="15"/>
        <v/>
      </c>
      <c r="AD43" s="1" t="str">
        <f t="shared" si="40"/>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1"/>
        <v>0</v>
      </c>
      <c r="AP43" s="106" t="b">
        <f t="shared" si="26"/>
        <v>0</v>
      </c>
      <c r="AQ43" s="106" t="b">
        <f t="shared" si="27"/>
        <v>0</v>
      </c>
      <c r="AR43" s="106" t="b">
        <f t="shared" si="28"/>
        <v>0</v>
      </c>
      <c r="AS43" s="106" t="b">
        <f t="shared" si="29"/>
        <v>0</v>
      </c>
      <c r="AT43" s="148" t="str">
        <f t="shared" si="30"/>
        <v/>
      </c>
      <c r="AU43" s="198" t="e">
        <f t="shared" si="31"/>
        <v>#VALUE!</v>
      </c>
      <c r="AV43" s="204" t="str">
        <f t="shared" si="32"/>
        <v/>
      </c>
      <c r="AW43" s="107" t="str">
        <f t="shared" si="33"/>
        <v/>
      </c>
      <c r="AX43" s="119">
        <f>IF($J$1=4,2,IF($J$1="4A",2,IF($J$1="4B",2,IF($J$1="4C",2))))</f>
        <v>2</v>
      </c>
      <c r="AY43" s="109" t="str">
        <f t="shared" si="34"/>
        <v/>
      </c>
      <c r="AZ43" s="110"/>
      <c r="BA43" s="111" t="str">
        <f t="shared" si="35"/>
        <v/>
      </c>
      <c r="BB43" s="112"/>
      <c r="BC43" s="113" t="str">
        <f t="shared" si="36"/>
        <v/>
      </c>
      <c r="BD43" s="114">
        <f t="shared" si="37"/>
        <v>0</v>
      </c>
      <c r="BE43" s="118"/>
      <c r="BF43" s="113" t="str">
        <f t="shared" si="38"/>
        <v/>
      </c>
      <c r="BG43" s="116">
        <f t="shared" si="39"/>
        <v>0</v>
      </c>
    </row>
    <row r="44" spans="1:59" ht="15" customHeight="1" x14ac:dyDescent="0.2">
      <c r="A44">
        <v>28</v>
      </c>
      <c r="B44" s="187">
        <f>BEGINBLAD!B33</f>
        <v>0</v>
      </c>
      <c r="C44" s="110" t="str">
        <f>IF('RIO - M4'!C44="","",IF('RIO - M4'!C44&gt;"",'RIO - M4'!C44))</f>
        <v/>
      </c>
      <c r="D44" s="149" t="str">
        <f>IF('NW - E4'!N33="","",IF('NW - E4'!N33="A+","A",IF('NW - E4'!N33="A","A",IF('NW - E4'!N33="B","B",IF('NW - E4'!N33="C","C",IF('NW - E4'!N33="C-","C",IF('NW - E4'!N33="D","D",IF('NW - E4'!N33="E","E"))))))))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E4'!D33=0,0,IF('NW - E4'!D33&gt;=0,'NW - E4'!D33))</f>
        <v>0</v>
      </c>
      <c r="Q44" s="206" t="str">
        <f t="shared" si="7"/>
        <v/>
      </c>
      <c r="R44" s="250">
        <f t="shared" si="8"/>
        <v>0</v>
      </c>
      <c r="S44" s="249">
        <f>IF('NW - E4'!F33=0,0,IF('NW - E4'!F33&gt;=0,'NW - E4'!F33))</f>
        <v>0</v>
      </c>
      <c r="T44" s="206" t="str">
        <f t="shared" si="9"/>
        <v/>
      </c>
      <c r="U44" s="250">
        <f t="shared" si="10"/>
        <v>0</v>
      </c>
      <c r="V44" s="249">
        <f>IF('NW - E4'!E33=0,0,IF('NW - E4'!E33&gt;=0,'NW - E4'!E33))</f>
        <v>0</v>
      </c>
      <c r="W44" s="206" t="str">
        <f t="shared" si="11"/>
        <v/>
      </c>
      <c r="X44" s="250">
        <f t="shared" si="12"/>
        <v>0</v>
      </c>
      <c r="Y44" s="249">
        <f>IF('NW - E4'!I33=0,0,IF('NW - E4'!I33&gt;=0,'NW - E4'!I33))</f>
        <v>0</v>
      </c>
      <c r="Z44" s="206" t="str">
        <f t="shared" si="13"/>
        <v/>
      </c>
      <c r="AA44" s="250">
        <f t="shared" si="14"/>
        <v>0</v>
      </c>
      <c r="AB44" s="249">
        <f>IF('NW - E4'!H33=0,0,IF('NW - E4'!H33&gt;=0,'NW - E4'!H33))</f>
        <v>0</v>
      </c>
      <c r="AC44" s="206" t="str">
        <f t="shared" si="15"/>
        <v/>
      </c>
      <c r="AD44" s="1" t="str">
        <f t="shared" si="40"/>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1"/>
        <v>0</v>
      </c>
      <c r="AP44" s="106" t="b">
        <f t="shared" si="26"/>
        <v>0</v>
      </c>
      <c r="AQ44" s="106" t="b">
        <f t="shared" si="27"/>
        <v>0</v>
      </c>
      <c r="AR44" s="106" t="b">
        <f t="shared" si="28"/>
        <v>0</v>
      </c>
      <c r="AS44" s="106" t="b">
        <f t="shared" si="29"/>
        <v>0</v>
      </c>
      <c r="AT44" s="148" t="str">
        <f t="shared" si="30"/>
        <v/>
      </c>
      <c r="AU44" s="198" t="e">
        <f t="shared" si="31"/>
        <v>#VALUE!</v>
      </c>
      <c r="AV44" s="204" t="str">
        <f t="shared" si="32"/>
        <v/>
      </c>
      <c r="AW44" s="107" t="str">
        <f t="shared" si="33"/>
        <v/>
      </c>
      <c r="AX44" s="119" t="b">
        <f>IF($J$1=5,3,IF($J$1="5A",3,IF($J$1="5B",3,IF($J$1="5C",3))))</f>
        <v>0</v>
      </c>
      <c r="AY44" s="109" t="str">
        <f t="shared" si="34"/>
        <v/>
      </c>
      <c r="AZ44" s="110"/>
      <c r="BA44" s="111" t="str">
        <f t="shared" si="35"/>
        <v/>
      </c>
      <c r="BB44" s="112"/>
      <c r="BC44" s="113" t="str">
        <f t="shared" si="36"/>
        <v/>
      </c>
      <c r="BD44" s="114">
        <f t="shared" si="37"/>
        <v>0</v>
      </c>
      <c r="BE44" s="118"/>
      <c r="BF44" s="113" t="str">
        <f t="shared" si="38"/>
        <v/>
      </c>
      <c r="BG44" s="116">
        <f t="shared" si="39"/>
        <v>0</v>
      </c>
    </row>
    <row r="45" spans="1:59" ht="15" customHeight="1" x14ac:dyDescent="0.2">
      <c r="A45">
        <v>29</v>
      </c>
      <c r="B45" s="187">
        <f>BEGINBLAD!B34</f>
        <v>0</v>
      </c>
      <c r="C45" s="110" t="str">
        <f>IF('RIO - M4'!C45="","",IF('RIO - M4'!C45&gt;"",'RIO - M4'!C45))</f>
        <v/>
      </c>
      <c r="D45" s="149" t="str">
        <f>IF('NW - E4'!N34="","",IF('NW - E4'!N34="A+","A",IF('NW - E4'!N34="A","A",IF('NW - E4'!N34="B","B",IF('NW - E4'!N34="C","C",IF('NW - E4'!N34="C-","C",IF('NW - E4'!N34="D","D",IF('NW - E4'!N34="E","E"))))))))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E4'!D34=0,0,IF('NW - E4'!D34&gt;=0,'NW - E4'!D34))</f>
        <v>0</v>
      </c>
      <c r="Q45" s="206" t="str">
        <f t="shared" si="7"/>
        <v/>
      </c>
      <c r="R45" s="250">
        <f t="shared" si="8"/>
        <v>0</v>
      </c>
      <c r="S45" s="249">
        <f>IF('NW - E4'!F34=0,0,IF('NW - E4'!F34&gt;=0,'NW - E4'!F34))</f>
        <v>0</v>
      </c>
      <c r="T45" s="206" t="str">
        <f t="shared" si="9"/>
        <v/>
      </c>
      <c r="U45" s="250">
        <f t="shared" si="10"/>
        <v>0</v>
      </c>
      <c r="V45" s="249">
        <f>IF('NW - E4'!E34=0,0,IF('NW - E4'!E34&gt;=0,'NW - E4'!E34))</f>
        <v>0</v>
      </c>
      <c r="W45" s="206" t="str">
        <f t="shared" si="11"/>
        <v/>
      </c>
      <c r="X45" s="250">
        <f t="shared" si="12"/>
        <v>0</v>
      </c>
      <c r="Y45" s="249">
        <f>IF('NW - E4'!I34=0,0,IF('NW - E4'!I34&gt;=0,'NW - E4'!I34))</f>
        <v>0</v>
      </c>
      <c r="Z45" s="206" t="str">
        <f t="shared" si="13"/>
        <v/>
      </c>
      <c r="AA45" s="250">
        <f t="shared" si="14"/>
        <v>0</v>
      </c>
      <c r="AB45" s="249">
        <f>IF('NW - E4'!H34=0,0,IF('NW - E4'!H34&gt;=0,'NW - E4'!H34))</f>
        <v>0</v>
      </c>
      <c r="AC45" s="206" t="str">
        <f t="shared" si="15"/>
        <v/>
      </c>
      <c r="AD45" s="1" t="str">
        <f t="shared" si="40"/>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1"/>
        <v>0</v>
      </c>
      <c r="AP45" s="106" t="b">
        <f t="shared" si="26"/>
        <v>0</v>
      </c>
      <c r="AQ45" s="106" t="b">
        <f t="shared" si="27"/>
        <v>0</v>
      </c>
      <c r="AR45" s="106" t="b">
        <f t="shared" si="28"/>
        <v>0</v>
      </c>
      <c r="AS45" s="106" t="b">
        <f t="shared" si="29"/>
        <v>0</v>
      </c>
      <c r="AT45" s="148" t="str">
        <f t="shared" si="30"/>
        <v/>
      </c>
      <c r="AU45" s="198" t="e">
        <f t="shared" si="31"/>
        <v>#VALUE!</v>
      </c>
      <c r="AV45" s="204" t="str">
        <f t="shared" si="32"/>
        <v/>
      </c>
      <c r="AW45" s="107" t="str">
        <f t="shared" si="33"/>
        <v/>
      </c>
      <c r="AX45" s="119" t="b">
        <f>IF($J$1=6,4,IF($J$1="6A",4,IF($J$1="6B",4,IF($J$1="6C",4))))</f>
        <v>0</v>
      </c>
      <c r="AY45" s="109" t="str">
        <f t="shared" si="34"/>
        <v/>
      </c>
      <c r="AZ45" s="110"/>
      <c r="BA45" s="111" t="str">
        <f t="shared" si="35"/>
        <v/>
      </c>
      <c r="BB45" s="112"/>
      <c r="BC45" s="113" t="str">
        <f t="shared" si="36"/>
        <v/>
      </c>
      <c r="BD45" s="114">
        <f t="shared" si="37"/>
        <v>0</v>
      </c>
      <c r="BE45" s="118"/>
      <c r="BF45" s="113" t="str">
        <f t="shared" si="38"/>
        <v/>
      </c>
      <c r="BG45" s="116">
        <f t="shared" si="39"/>
        <v>0</v>
      </c>
    </row>
    <row r="46" spans="1:59" ht="15" customHeight="1" x14ac:dyDescent="0.2">
      <c r="A46">
        <v>30</v>
      </c>
      <c r="B46" s="187">
        <f>BEGINBLAD!B35</f>
        <v>0</v>
      </c>
      <c r="C46" s="110" t="str">
        <f>IF('RIO - M4'!C46="","",IF('RIO - M4'!C46&gt;"",'RIO - M4'!C46))</f>
        <v/>
      </c>
      <c r="D46" s="149" t="str">
        <f>IF('NW - E4'!N35="","",IF('NW - E4'!N35="A+","A",IF('NW - E4'!N35="A","A",IF('NW - E4'!N35="B","B",IF('NW - E4'!N35="C","C",IF('NW - E4'!N35="C-","C",IF('NW - E4'!N35="D","D",IF('NW - E4'!N35="E","E"))))))))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E4'!D35=0,0,IF('NW - E4'!D35&gt;=0,'NW - E4'!D35))</f>
        <v>0</v>
      </c>
      <c r="Q46" s="206" t="str">
        <f t="shared" si="7"/>
        <v/>
      </c>
      <c r="R46" s="250">
        <f t="shared" si="8"/>
        <v>0</v>
      </c>
      <c r="S46" s="249">
        <f>IF('NW - E4'!F35=0,0,IF('NW - E4'!F35&gt;=0,'NW - E4'!F35))</f>
        <v>0</v>
      </c>
      <c r="T46" s="206" t="str">
        <f t="shared" si="9"/>
        <v/>
      </c>
      <c r="U46" s="250">
        <f t="shared" si="10"/>
        <v>0</v>
      </c>
      <c r="V46" s="249">
        <f>IF('NW - E4'!E35=0,0,IF('NW - E4'!E35&gt;=0,'NW - E4'!E35))</f>
        <v>0</v>
      </c>
      <c r="W46" s="206" t="str">
        <f t="shared" si="11"/>
        <v/>
      </c>
      <c r="X46" s="250">
        <f t="shared" si="12"/>
        <v>0</v>
      </c>
      <c r="Y46" s="249">
        <f>IF('NW - E4'!I35=0,0,IF('NW - E4'!I35&gt;=0,'NW - E4'!I35))</f>
        <v>0</v>
      </c>
      <c r="Z46" s="206" t="str">
        <f t="shared" si="13"/>
        <v/>
      </c>
      <c r="AA46" s="250">
        <f t="shared" si="14"/>
        <v>0</v>
      </c>
      <c r="AB46" s="249">
        <f>IF('NW - E4'!H35=0,0,IF('NW - E4'!H35&gt;=0,'NW - E4'!H35))</f>
        <v>0</v>
      </c>
      <c r="AC46" s="206" t="str">
        <f t="shared" si="15"/>
        <v/>
      </c>
      <c r="AD46" s="1" t="str">
        <f t="shared" si="40"/>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1"/>
        <v>0</v>
      </c>
      <c r="AP46" s="106" t="b">
        <f t="shared" si="26"/>
        <v>0</v>
      </c>
      <c r="AQ46" s="106" t="b">
        <f t="shared" si="27"/>
        <v>0</v>
      </c>
      <c r="AR46" s="106" t="b">
        <f t="shared" si="28"/>
        <v>0</v>
      </c>
      <c r="AS46" s="106" t="b">
        <f t="shared" si="29"/>
        <v>0</v>
      </c>
      <c r="AT46" s="148" t="str">
        <f t="shared" si="30"/>
        <v/>
      </c>
      <c r="AU46" s="198" t="e">
        <f t="shared" si="31"/>
        <v>#VALUE!</v>
      </c>
      <c r="AV46" s="204" t="str">
        <f t="shared" si="32"/>
        <v/>
      </c>
      <c r="AW46" s="107" t="str">
        <f t="shared" si="33"/>
        <v/>
      </c>
      <c r="AX46" s="119" t="b">
        <f>IF($J$1=7,5,IF($J$1="7A",5,IF($J$1="7B",5,IF($J$1="7C",5))))</f>
        <v>0</v>
      </c>
      <c r="AY46" s="109" t="str">
        <f t="shared" si="34"/>
        <v/>
      </c>
      <c r="AZ46" s="110"/>
      <c r="BA46" s="111" t="str">
        <f t="shared" si="35"/>
        <v/>
      </c>
      <c r="BB46" s="112"/>
      <c r="BC46" s="113" t="str">
        <f t="shared" si="36"/>
        <v/>
      </c>
      <c r="BD46" s="114">
        <f t="shared" si="37"/>
        <v>0</v>
      </c>
      <c r="BE46" s="118"/>
      <c r="BF46" s="113" t="str">
        <f t="shared" si="38"/>
        <v/>
      </c>
      <c r="BG46" s="116">
        <f t="shared" si="39"/>
        <v>0</v>
      </c>
    </row>
    <row r="47" spans="1:59" ht="15" customHeight="1" x14ac:dyDescent="0.2">
      <c r="A47">
        <v>31</v>
      </c>
      <c r="B47" s="187">
        <f>BEGINBLAD!B36</f>
        <v>0</v>
      </c>
      <c r="C47" s="110" t="str">
        <f>IF('RIO - M4'!C47="","",IF('RIO - M4'!C47&gt;"",'RIO - M4'!C47))</f>
        <v/>
      </c>
      <c r="D47" s="149" t="str">
        <f>IF('NW - E4'!N36="","",IF('NW - E4'!N36="A+","A",IF('NW - E4'!N36="A","A",IF('NW - E4'!N36="B","B",IF('NW - E4'!N36="C","C",IF('NW - E4'!N36="C-","C",IF('NW - E4'!N36="D","D",IF('NW - E4'!N36="E","E"))))))))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E4'!D36=0,0,IF('NW - E4'!D36&gt;=0,'NW - E4'!D36))</f>
        <v>0</v>
      </c>
      <c r="Q47" s="206" t="str">
        <f t="shared" si="7"/>
        <v/>
      </c>
      <c r="R47" s="250">
        <f t="shared" si="8"/>
        <v>0</v>
      </c>
      <c r="S47" s="249">
        <f>IF('NW - E4'!F36=0,0,IF('NW - E4'!F36&gt;=0,'NW - E4'!F36))</f>
        <v>0</v>
      </c>
      <c r="T47" s="206" t="str">
        <f t="shared" si="9"/>
        <v/>
      </c>
      <c r="U47" s="250">
        <f t="shared" si="10"/>
        <v>0</v>
      </c>
      <c r="V47" s="249">
        <f>IF('NW - E4'!E36=0,0,IF('NW - E4'!E36&gt;=0,'NW - E4'!E36))</f>
        <v>0</v>
      </c>
      <c r="W47" s="206" t="str">
        <f t="shared" si="11"/>
        <v/>
      </c>
      <c r="X47" s="250">
        <f t="shared" si="12"/>
        <v>0</v>
      </c>
      <c r="Y47" s="249">
        <f>IF('NW - E4'!I36=0,0,IF('NW - E4'!I36&gt;=0,'NW - E4'!I36))</f>
        <v>0</v>
      </c>
      <c r="Z47" s="206" t="str">
        <f t="shared" si="13"/>
        <v/>
      </c>
      <c r="AA47" s="250">
        <f t="shared" si="14"/>
        <v>0</v>
      </c>
      <c r="AB47" s="249">
        <f>IF('NW - E4'!H36=0,0,IF('NW - E4'!H36&gt;=0,'NW - E4'!H36))</f>
        <v>0</v>
      </c>
      <c r="AC47" s="206" t="str">
        <f t="shared" si="15"/>
        <v/>
      </c>
      <c r="AD47" s="1" t="str">
        <f t="shared" si="40"/>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1"/>
        <v>0</v>
      </c>
      <c r="AP47" s="106" t="b">
        <f t="shared" si="26"/>
        <v>0</v>
      </c>
      <c r="AQ47" s="106" t="b">
        <f t="shared" si="27"/>
        <v>0</v>
      </c>
      <c r="AR47" s="106" t="b">
        <f t="shared" si="28"/>
        <v>0</v>
      </c>
      <c r="AS47" s="106" t="b">
        <f t="shared" si="29"/>
        <v>0</v>
      </c>
      <c r="AT47" s="148" t="str">
        <f t="shared" si="30"/>
        <v/>
      </c>
      <c r="AU47" s="198" t="e">
        <f t="shared" si="31"/>
        <v>#VALUE!</v>
      </c>
      <c r="AV47" s="204" t="str">
        <f t="shared" si="32"/>
        <v/>
      </c>
      <c r="AW47" s="107" t="str">
        <f t="shared" si="33"/>
        <v/>
      </c>
      <c r="AX47" s="119" t="b">
        <f>IF($J$1=8,6,IF($J$1="8A",6,IF($J$1="8B",6,IF($J$1="8C",6))))</f>
        <v>0</v>
      </c>
      <c r="AY47" s="109" t="str">
        <f t="shared" si="34"/>
        <v/>
      </c>
      <c r="AZ47" s="110"/>
      <c r="BA47" s="111" t="str">
        <f t="shared" si="35"/>
        <v/>
      </c>
      <c r="BB47" s="112"/>
      <c r="BC47" s="113" t="str">
        <f t="shared" si="36"/>
        <v/>
      </c>
      <c r="BD47" s="114">
        <f t="shared" si="37"/>
        <v>0</v>
      </c>
      <c r="BE47" s="118"/>
      <c r="BF47" s="113" t="str">
        <f t="shared" si="38"/>
        <v/>
      </c>
      <c r="BG47" s="116">
        <f t="shared" si="39"/>
        <v>0</v>
      </c>
    </row>
    <row r="48" spans="1:59" ht="15" customHeight="1" x14ac:dyDescent="0.2">
      <c r="A48">
        <v>32</v>
      </c>
      <c r="B48" s="187">
        <f>BEGINBLAD!B37</f>
        <v>0</v>
      </c>
      <c r="C48" s="110" t="str">
        <f>IF('RIO - M4'!C48="","",IF('RIO - M4'!C48&gt;"",'RIO - M4'!C48))</f>
        <v/>
      </c>
      <c r="D48" s="149" t="str">
        <f>IF('NW - E4'!N37="","",IF('NW - E4'!N37="A+","A",IF('NW - E4'!N37="A","A",IF('NW - E4'!N37="B","B",IF('NW - E4'!N37="C","C",IF('NW - E4'!N37="C-","C",IF('NW - E4'!N37="D","D",IF('NW - E4'!N37="E","E"))))))))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E4'!D37=0,0,IF('NW - E4'!D37&gt;=0,'NW - E4'!D37))</f>
        <v>0</v>
      </c>
      <c r="Q48" s="206" t="str">
        <f t="shared" si="7"/>
        <v/>
      </c>
      <c r="R48" s="250">
        <f t="shared" si="8"/>
        <v>0</v>
      </c>
      <c r="S48" s="249">
        <f>IF('NW - E4'!F37=0,0,IF('NW - E4'!F37&gt;=0,'NW - E4'!F37))</f>
        <v>0</v>
      </c>
      <c r="T48" s="206" t="str">
        <f t="shared" si="9"/>
        <v/>
      </c>
      <c r="U48" s="250">
        <f t="shared" si="10"/>
        <v>0</v>
      </c>
      <c r="V48" s="249">
        <f>IF('NW - E4'!E37=0,0,IF('NW - E4'!E37&gt;=0,'NW - E4'!E37))</f>
        <v>0</v>
      </c>
      <c r="W48" s="206" t="str">
        <f t="shared" si="11"/>
        <v/>
      </c>
      <c r="X48" s="250">
        <f t="shared" si="12"/>
        <v>0</v>
      </c>
      <c r="Y48" s="249">
        <f>IF('NW - E4'!I37=0,0,IF('NW - E4'!I37&gt;=0,'NW - E4'!I37))</f>
        <v>0</v>
      </c>
      <c r="Z48" s="206" t="str">
        <f t="shared" si="13"/>
        <v/>
      </c>
      <c r="AA48" s="250">
        <f t="shared" si="14"/>
        <v>0</v>
      </c>
      <c r="AB48" s="249">
        <f>IF('NW - E4'!H37=0,0,IF('NW - E4'!H37&gt;=0,'NW - E4'!H37))</f>
        <v>0</v>
      </c>
      <c r="AC48" s="206" t="str">
        <f t="shared" si="15"/>
        <v/>
      </c>
      <c r="AD48" s="1" t="str">
        <f t="shared" si="40"/>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1"/>
        <v>0</v>
      </c>
      <c r="AP48" s="106" t="b">
        <f t="shared" si="26"/>
        <v>0</v>
      </c>
      <c r="AQ48" s="106" t="b">
        <f t="shared" si="27"/>
        <v>0</v>
      </c>
      <c r="AR48" s="106" t="b">
        <f t="shared" si="28"/>
        <v>0</v>
      </c>
      <c r="AS48" s="106" t="b">
        <f t="shared" si="29"/>
        <v>0</v>
      </c>
      <c r="AT48" s="148" t="str">
        <f t="shared" si="30"/>
        <v/>
      </c>
      <c r="AU48" s="198" t="e">
        <f t="shared" si="31"/>
        <v>#VALUE!</v>
      </c>
      <c r="AV48" s="204" t="str">
        <f t="shared" si="32"/>
        <v/>
      </c>
      <c r="AW48" s="107" t="str">
        <f t="shared" si="33"/>
        <v/>
      </c>
      <c r="AX48" s="108"/>
      <c r="AY48" s="109" t="str">
        <f t="shared" si="34"/>
        <v/>
      </c>
      <c r="AZ48" s="110"/>
      <c r="BA48" s="111" t="str">
        <f t="shared" si="35"/>
        <v/>
      </c>
      <c r="BB48" s="112"/>
      <c r="BC48" s="113" t="str">
        <f t="shared" si="36"/>
        <v/>
      </c>
      <c r="BD48" s="114">
        <f t="shared" si="37"/>
        <v>0</v>
      </c>
      <c r="BE48" s="118"/>
      <c r="BF48" s="113" t="str">
        <f t="shared" si="38"/>
        <v/>
      </c>
      <c r="BG48" s="116">
        <f t="shared" si="39"/>
        <v>0</v>
      </c>
    </row>
    <row r="49" spans="1:59" ht="15" customHeight="1" x14ac:dyDescent="0.2">
      <c r="A49">
        <v>33</v>
      </c>
      <c r="B49" s="187">
        <f>BEGINBLAD!B38</f>
        <v>0</v>
      </c>
      <c r="C49" s="110" t="str">
        <f>IF('RIO - M4'!C49="","",IF('RIO - M4'!C49&gt;"",'RIO - M4'!C49))</f>
        <v/>
      </c>
      <c r="D49" s="149" t="str">
        <f>IF('NW - E4'!N38="","",IF('NW - E4'!N38="A+","A",IF('NW - E4'!N38="A","A",IF('NW - E4'!N38="B","B",IF('NW - E4'!N38="C","C",IF('NW - E4'!N38="C-","C",IF('NW - E4'!N38="D","D",IF('NW - E4'!N38="E","E"))))))))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E4'!D38=0,0,IF('NW - E4'!D38&gt;=0,'NW - E4'!D38))</f>
        <v>0</v>
      </c>
      <c r="Q49" s="206" t="str">
        <f t="shared" si="7"/>
        <v/>
      </c>
      <c r="R49" s="250">
        <f t="shared" si="8"/>
        <v>0</v>
      </c>
      <c r="S49" s="249">
        <f>IF('NW - E4'!F38=0,0,IF('NW - E4'!F38&gt;=0,'NW - E4'!F38))</f>
        <v>0</v>
      </c>
      <c r="T49" s="206" t="str">
        <f t="shared" si="9"/>
        <v/>
      </c>
      <c r="U49" s="250">
        <f t="shared" si="10"/>
        <v>0</v>
      </c>
      <c r="V49" s="249">
        <f>IF('NW - E4'!E38=0,0,IF('NW - E4'!E38&gt;=0,'NW - E4'!E38))</f>
        <v>0</v>
      </c>
      <c r="W49" s="206" t="str">
        <f t="shared" si="11"/>
        <v/>
      </c>
      <c r="X49" s="250">
        <f t="shared" si="12"/>
        <v>0</v>
      </c>
      <c r="Y49" s="249">
        <f>IF('NW - E4'!I38=0,0,IF('NW - E4'!I38&gt;=0,'NW - E4'!I38))</f>
        <v>0</v>
      </c>
      <c r="Z49" s="206" t="str">
        <f t="shared" si="13"/>
        <v/>
      </c>
      <c r="AA49" s="250">
        <f t="shared" si="14"/>
        <v>0</v>
      </c>
      <c r="AB49" s="249">
        <f>IF('NW - E4'!H38=0,0,IF('NW - E4'!H38&gt;=0,'NW - E4'!H38))</f>
        <v>0</v>
      </c>
      <c r="AC49" s="206" t="str">
        <f t="shared" si="15"/>
        <v/>
      </c>
      <c r="AD49" s="1" t="str">
        <f t="shared" si="40"/>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1"/>
        <v>0</v>
      </c>
      <c r="AP49" s="106" t="b">
        <f t="shared" si="26"/>
        <v>0</v>
      </c>
      <c r="AQ49" s="106" t="b">
        <f t="shared" si="27"/>
        <v>0</v>
      </c>
      <c r="AR49" s="106" t="b">
        <f t="shared" si="28"/>
        <v>0</v>
      </c>
      <c r="AS49" s="106" t="b">
        <f t="shared" si="29"/>
        <v>0</v>
      </c>
      <c r="AT49" s="148" t="str">
        <f t="shared" si="30"/>
        <v/>
      </c>
      <c r="AU49" s="198" t="e">
        <f t="shared" si="31"/>
        <v>#VALUE!</v>
      </c>
      <c r="AV49" s="204" t="str">
        <f t="shared" si="32"/>
        <v/>
      </c>
      <c r="AW49" s="107" t="str">
        <f t="shared" si="33"/>
        <v/>
      </c>
      <c r="AX49" s="108"/>
      <c r="AY49" s="109" t="str">
        <f t="shared" si="34"/>
        <v/>
      </c>
      <c r="AZ49" s="110"/>
      <c r="BA49" s="111" t="str">
        <f t="shared" si="35"/>
        <v/>
      </c>
      <c r="BB49" s="112"/>
      <c r="BC49" s="113" t="str">
        <f t="shared" si="36"/>
        <v/>
      </c>
      <c r="BD49" s="114">
        <f t="shared" si="37"/>
        <v>0</v>
      </c>
      <c r="BE49" s="118"/>
      <c r="BF49" s="113" t="str">
        <f t="shared" si="38"/>
        <v/>
      </c>
      <c r="BG49" s="116">
        <f t="shared" si="39"/>
        <v>0</v>
      </c>
    </row>
    <row r="50" spans="1:59" ht="15" customHeight="1" x14ac:dyDescent="0.2">
      <c r="A50">
        <v>34</v>
      </c>
      <c r="B50" s="187">
        <f>BEGINBLAD!B39</f>
        <v>0</v>
      </c>
      <c r="C50" s="110" t="str">
        <f>IF('RIO - M4'!C50="","",IF('RIO - M4'!C50&gt;"",'RIO - M4'!C50))</f>
        <v/>
      </c>
      <c r="D50" s="149" t="str">
        <f>IF('NW - E4'!N39="","",IF('NW - E4'!N39="A+","A",IF('NW - E4'!N39="A","A",IF('NW - E4'!N39="B","B",IF('NW - E4'!N39="C","C",IF('NW - E4'!N39="C-","C",IF('NW - E4'!N39="D","D",IF('NW - E4'!N39="E","E"))))))))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E4'!D39=0,0,IF('NW - E4'!D39&gt;=0,'NW - E4'!D39))</f>
        <v>0</v>
      </c>
      <c r="Q50" s="206" t="str">
        <f t="shared" si="7"/>
        <v/>
      </c>
      <c r="R50" s="250">
        <f t="shared" si="8"/>
        <v>0</v>
      </c>
      <c r="S50" s="249">
        <f>IF('NW - E4'!F39=0,0,IF('NW - E4'!F39&gt;=0,'NW - E4'!F39))</f>
        <v>0</v>
      </c>
      <c r="T50" s="206" t="str">
        <f t="shared" si="9"/>
        <v/>
      </c>
      <c r="U50" s="250">
        <f t="shared" si="10"/>
        <v>0</v>
      </c>
      <c r="V50" s="249">
        <f>IF('NW - E4'!E39=0,0,IF('NW - E4'!E39&gt;=0,'NW - E4'!E39))</f>
        <v>0</v>
      </c>
      <c r="W50" s="206" t="str">
        <f t="shared" si="11"/>
        <v/>
      </c>
      <c r="X50" s="250">
        <f t="shared" si="12"/>
        <v>0</v>
      </c>
      <c r="Y50" s="249">
        <f>IF('NW - E4'!I39=0,0,IF('NW - E4'!I39&gt;=0,'NW - E4'!I39))</f>
        <v>0</v>
      </c>
      <c r="Z50" s="206" t="str">
        <f t="shared" si="13"/>
        <v/>
      </c>
      <c r="AA50" s="250">
        <f t="shared" si="14"/>
        <v>0</v>
      </c>
      <c r="AB50" s="249">
        <f>IF('NW - E4'!H39=0,0,IF('NW - E4'!H39&gt;=0,'NW - E4'!H39))</f>
        <v>0</v>
      </c>
      <c r="AC50" s="206" t="str">
        <f t="shared" si="15"/>
        <v/>
      </c>
      <c r="AD50" s="1" t="str">
        <f t="shared" si="40"/>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1"/>
        <v>0</v>
      </c>
      <c r="AP50" s="106" t="b">
        <f t="shared" si="26"/>
        <v>0</v>
      </c>
      <c r="AQ50" s="106" t="b">
        <f t="shared" si="27"/>
        <v>0</v>
      </c>
      <c r="AR50" s="106" t="b">
        <f t="shared" si="28"/>
        <v>0</v>
      </c>
      <c r="AS50" s="106" t="b">
        <f t="shared" si="29"/>
        <v>0</v>
      </c>
      <c r="AT50" s="148" t="str">
        <f t="shared" si="30"/>
        <v/>
      </c>
      <c r="AU50" s="198" t="e">
        <f t="shared" si="31"/>
        <v>#VALUE!</v>
      </c>
      <c r="AV50" s="204" t="str">
        <f t="shared" si="32"/>
        <v/>
      </c>
      <c r="AW50" s="107" t="str">
        <f t="shared" si="33"/>
        <v/>
      </c>
      <c r="AX50" s="121"/>
      <c r="AY50" s="109" t="str">
        <f t="shared" si="34"/>
        <v/>
      </c>
      <c r="AZ50" s="110"/>
      <c r="BA50" s="111" t="str">
        <f t="shared" si="35"/>
        <v/>
      </c>
      <c r="BB50" s="112"/>
      <c r="BC50" s="113" t="str">
        <f t="shared" si="36"/>
        <v/>
      </c>
      <c r="BD50" s="114">
        <f t="shared" si="37"/>
        <v>0</v>
      </c>
      <c r="BE50" s="118"/>
      <c r="BF50" s="113" t="str">
        <f t="shared" si="38"/>
        <v/>
      </c>
      <c r="BG50" s="116">
        <f t="shared" si="39"/>
        <v>0</v>
      </c>
    </row>
    <row r="51" spans="1:59" ht="15" customHeight="1" x14ac:dyDescent="0.2">
      <c r="A51">
        <v>35</v>
      </c>
      <c r="B51" s="187">
        <f>BEGINBLAD!B40</f>
        <v>0</v>
      </c>
      <c r="C51" s="110" t="str">
        <f>IF('RIO - M4'!C51="","",IF('RIO - M4'!C51&gt;"",'RIO - M4'!C51))</f>
        <v/>
      </c>
      <c r="D51" s="149" t="str">
        <f>IF('NW - E4'!N40="","",IF('NW - E4'!N40="A+","A",IF('NW - E4'!N40="A","A",IF('NW - E4'!N40="B","B",IF('NW - E4'!N40="C","C",IF('NW - E4'!N40="C-","C",IF('NW - E4'!N40="D","D",IF('NW - E4'!N40="E","E"))))))))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E4'!D40=0,0,IF('NW - E4'!D40&gt;=0,'NW - E4'!D40))</f>
        <v>0</v>
      </c>
      <c r="Q51" s="206" t="str">
        <f t="shared" si="7"/>
        <v/>
      </c>
      <c r="R51" s="250">
        <f t="shared" si="8"/>
        <v>0</v>
      </c>
      <c r="S51" s="249">
        <f>IF('NW - E4'!F40=0,0,IF('NW - E4'!F40&gt;=0,'NW - E4'!F40))</f>
        <v>0</v>
      </c>
      <c r="T51" s="206" t="str">
        <f t="shared" si="9"/>
        <v/>
      </c>
      <c r="U51" s="250">
        <f t="shared" si="10"/>
        <v>0</v>
      </c>
      <c r="V51" s="249">
        <f>IF('NW - E4'!E40=0,0,IF('NW - E4'!E40&gt;=0,'NW - E4'!E40))</f>
        <v>0</v>
      </c>
      <c r="W51" s="206" t="str">
        <f t="shared" si="11"/>
        <v/>
      </c>
      <c r="X51" s="250">
        <f t="shared" si="12"/>
        <v>0</v>
      </c>
      <c r="Y51" s="249">
        <f>IF('NW - E4'!I40=0,0,IF('NW - E4'!I40&gt;=0,'NW - E4'!I40))</f>
        <v>0</v>
      </c>
      <c r="Z51" s="206" t="str">
        <f t="shared" si="13"/>
        <v/>
      </c>
      <c r="AA51" s="250">
        <f t="shared" si="14"/>
        <v>0</v>
      </c>
      <c r="AB51" s="249">
        <f>IF('NW - E4'!H40=0,0,IF('NW - E4'!H40&gt;=0,'NW - E4'!H40))</f>
        <v>0</v>
      </c>
      <c r="AC51" s="206" t="str">
        <f t="shared" si="15"/>
        <v/>
      </c>
      <c r="AD51" s="1" t="str">
        <f t="shared" si="40"/>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1"/>
        <v>0</v>
      </c>
      <c r="AP51" s="106" t="b">
        <f t="shared" si="26"/>
        <v>0</v>
      </c>
      <c r="AQ51" s="106" t="b">
        <f t="shared" si="27"/>
        <v>0</v>
      </c>
      <c r="AR51" s="106" t="b">
        <f t="shared" si="28"/>
        <v>0</v>
      </c>
      <c r="AS51" s="106" t="b">
        <f t="shared" si="29"/>
        <v>0</v>
      </c>
      <c r="AT51" s="148" t="str">
        <f t="shared" si="30"/>
        <v/>
      </c>
      <c r="AU51" s="198" t="e">
        <f t="shared" si="31"/>
        <v>#VALUE!</v>
      </c>
      <c r="AV51" s="204" t="str">
        <f t="shared" si="32"/>
        <v/>
      </c>
      <c r="AW51" s="107" t="str">
        <f t="shared" si="33"/>
        <v/>
      </c>
      <c r="AX51" s="121"/>
      <c r="AY51" s="109" t="str">
        <f t="shared" si="34"/>
        <v/>
      </c>
      <c r="AZ51" s="110"/>
      <c r="BA51" s="111" t="str">
        <f t="shared" si="35"/>
        <v/>
      </c>
      <c r="BB51" s="112"/>
      <c r="BC51" s="113" t="str">
        <f t="shared" si="36"/>
        <v/>
      </c>
      <c r="BD51" s="114">
        <f t="shared" si="37"/>
        <v>0</v>
      </c>
      <c r="BE51" s="118"/>
      <c r="BF51" s="113" t="str">
        <f t="shared" si="38"/>
        <v/>
      </c>
      <c r="BG51" s="116">
        <f t="shared" si="39"/>
        <v>0</v>
      </c>
    </row>
    <row r="52" spans="1:59" ht="15" customHeight="1" thickBot="1" x14ac:dyDescent="0.25">
      <c r="A52">
        <v>36</v>
      </c>
      <c r="B52" s="187">
        <f>BEGINBLAD!B41</f>
        <v>0</v>
      </c>
      <c r="C52" s="110" t="str">
        <f>IF('RIO - M4'!C52="","",IF('RIO - M4'!C52&gt;"",'RIO - M4'!C52))</f>
        <v/>
      </c>
      <c r="D52" s="149" t="str">
        <f>IF('NW - E4'!N41="","",IF('NW - E4'!N41="A+","A",IF('NW - E4'!N41="A","A",IF('NW - E4'!N41="B","B",IF('NW - E4'!N41="C","C",IF('NW - E4'!N41="C-","C",IF('NW - E4'!N41="D","D",IF('NW - E4'!N41="E","E"))))))))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E4'!D41=0,0,IF('NW - E4'!D41&gt;=0,'NW - E4'!D41))</f>
        <v>0</v>
      </c>
      <c r="Q52" s="207" t="str">
        <f t="shared" si="7"/>
        <v/>
      </c>
      <c r="R52" s="250">
        <f t="shared" si="8"/>
        <v>0</v>
      </c>
      <c r="S52" s="249">
        <f>IF('NW - E4'!F41=0,0,IF('NW - E4'!F41&gt;=0,'NW - E4'!F41))</f>
        <v>0</v>
      </c>
      <c r="T52" s="207" t="str">
        <f t="shared" si="9"/>
        <v/>
      </c>
      <c r="U52" s="250">
        <f t="shared" si="10"/>
        <v>0</v>
      </c>
      <c r="V52" s="249">
        <f>IF('NW - E4'!E41=0,0,IF('NW - E4'!E41&gt;=0,'NW - E4'!E41))</f>
        <v>0</v>
      </c>
      <c r="W52" s="207" t="str">
        <f t="shared" si="11"/>
        <v/>
      </c>
      <c r="X52" s="250">
        <f t="shared" si="12"/>
        <v>0</v>
      </c>
      <c r="Y52" s="249">
        <f>IF('NW - E4'!I41=0,0,IF('NW - E4'!I41&gt;=0,'NW - E4'!I41))</f>
        <v>0</v>
      </c>
      <c r="Z52" s="207" t="str">
        <f t="shared" si="13"/>
        <v/>
      </c>
      <c r="AA52" s="250">
        <f t="shared" si="14"/>
        <v>0</v>
      </c>
      <c r="AB52" s="249">
        <f>IF('NW - E4'!H41=0,0,IF('NW - E4'!H41&gt;=0,'NW - E4'!H41))</f>
        <v>0</v>
      </c>
      <c r="AC52" s="207" t="str">
        <f t="shared" si="15"/>
        <v/>
      </c>
      <c r="AD52" s="1" t="str">
        <f t="shared" si="40"/>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1"/>
        <v>0</v>
      </c>
      <c r="AP52" s="106" t="b">
        <f t="shared" si="26"/>
        <v>0</v>
      </c>
      <c r="AQ52" s="106" t="b">
        <f t="shared" si="27"/>
        <v>0</v>
      </c>
      <c r="AR52" s="106" t="b">
        <f t="shared" si="28"/>
        <v>0</v>
      </c>
      <c r="AS52" s="106" t="b">
        <f t="shared" si="29"/>
        <v>0</v>
      </c>
      <c r="AT52" s="148" t="str">
        <f t="shared" si="30"/>
        <v/>
      </c>
      <c r="AU52" s="198" t="e">
        <f t="shared" si="31"/>
        <v>#VALUE!</v>
      </c>
      <c r="AV52" s="205" t="str">
        <f t="shared" si="32"/>
        <v/>
      </c>
      <c r="AW52" s="107" t="str">
        <f t="shared" si="33"/>
        <v/>
      </c>
      <c r="AX52" s="121"/>
      <c r="AY52" s="109" t="str">
        <f t="shared" si="34"/>
        <v/>
      </c>
      <c r="AZ52" s="110"/>
      <c r="BA52" s="111" t="str">
        <f t="shared" si="35"/>
        <v/>
      </c>
      <c r="BB52" s="112"/>
      <c r="BC52" s="113" t="str">
        <f t="shared" si="36"/>
        <v/>
      </c>
      <c r="BD52" s="114">
        <f t="shared" si="37"/>
        <v>0</v>
      </c>
      <c r="BE52" s="125"/>
      <c r="BF52" s="113" t="str">
        <f t="shared" si="38"/>
        <v/>
      </c>
      <c r="BG52" s="116">
        <f t="shared" si="39"/>
        <v>0</v>
      </c>
    </row>
    <row r="53" spans="1:59" ht="15" customHeight="1" thickBot="1" x14ac:dyDescent="0.25">
      <c r="A53" t="s">
        <v>75</v>
      </c>
      <c r="B53" s="33">
        <f>36-B54</f>
        <v>3</v>
      </c>
      <c r="C53" s="341" t="s">
        <v>76</v>
      </c>
      <c r="D53" s="342"/>
      <c r="E53" s="342"/>
      <c r="F53" s="342"/>
      <c r="G53" s="342"/>
      <c r="H53" s="342"/>
      <c r="I53" s="342"/>
      <c r="J53" s="342"/>
      <c r="K53" s="342"/>
      <c r="L53" s="342"/>
      <c r="M53" s="342"/>
      <c r="N53" s="343"/>
      <c r="O53" s="347">
        <f>IF(AD53=0,0,IF(AD53&gt;0,AD54))</f>
        <v>0</v>
      </c>
      <c r="P53" s="348"/>
      <c r="Q53" s="349"/>
      <c r="R53" s="350">
        <f>IF(AE53=0,0,IF(AE53&gt;0,AE54))</f>
        <v>1</v>
      </c>
      <c r="S53" s="348"/>
      <c r="T53" s="349"/>
      <c r="U53" s="350">
        <f>IF(AF53=0,0,IF(AF53&gt;0,AF54))</f>
        <v>0.5</v>
      </c>
      <c r="V53" s="348"/>
      <c r="W53" s="351"/>
      <c r="X53" s="347">
        <f>IF(AG53=0,0,IF(AG53&gt;0,AG54))</f>
        <v>1</v>
      </c>
      <c r="Y53" s="348"/>
      <c r="Z53" s="349"/>
      <c r="AA53" s="350">
        <f>IF(AH53=0,0,IF(AH53&gt;0,AH54))</f>
        <v>1</v>
      </c>
      <c r="AB53" s="348"/>
      <c r="AC53" s="351"/>
      <c r="AD53" s="173">
        <f>SUM(AD17:AD52)</f>
        <v>0</v>
      </c>
      <c r="AE53" s="126">
        <f>SUM(AE17:AE52)</f>
        <v>2</v>
      </c>
      <c r="AF53" s="126">
        <f>SUM(AF17:AF52)</f>
        <v>1</v>
      </c>
      <c r="AG53" s="126">
        <f>SUM(AG17:AG52)</f>
        <v>2</v>
      </c>
      <c r="AH53" s="126">
        <f>SUM(AH17:AH52)</f>
        <v>2</v>
      </c>
      <c r="AI53" s="127">
        <f>SUM(AV17:AV52)</f>
        <v>1.4</v>
      </c>
      <c r="AJ53" s="127">
        <f t="shared" ref="AJ53:AS53" si="42">SUM(AJ17:AJ52)</f>
        <v>0</v>
      </c>
      <c r="AK53" s="127">
        <f t="shared" si="42"/>
        <v>0.8</v>
      </c>
      <c r="AL53" s="127">
        <f t="shared" si="42"/>
        <v>0.6</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f>IF(AI53=0,"",IF(AI53&gt;0,$AI$54))</f>
        <v>0.46666666666666662</v>
      </c>
      <c r="AW53" s="129" t="str">
        <f>IF(AW54=0,"",IF(AW54&gt;0,AW54/AX54))</f>
        <v/>
      </c>
      <c r="AX53" s="1">
        <f>SUM(AX42:AX52)</f>
        <v>2</v>
      </c>
      <c r="AY53" s="130" t="str">
        <f>IF(L54=0,"",IF(L54&gt;0,AY54/L54))</f>
        <v/>
      </c>
      <c r="AZ53" s="131">
        <f>IF(B53=0,"",IF(B53&gt;0,AZ55/B53))</f>
        <v>1</v>
      </c>
      <c r="BA53" s="132"/>
      <c r="BB53" s="133" t="str">
        <f>IF(BD53=0,"",IF(BD53&gt;0,BD53/BB54))</f>
        <v/>
      </c>
      <c r="BC53" s="132"/>
      <c r="BD53" s="132">
        <f>SUM(BD17:BD52)</f>
        <v>0</v>
      </c>
      <c r="BE53" s="133" t="str">
        <f>IF(BG53=0,"",IF(BG53&gt;0,BG53/BE54))</f>
        <v/>
      </c>
      <c r="BF53" s="31"/>
      <c r="BG53" s="134">
        <f>SUM(BG17:BG52)</f>
        <v>0</v>
      </c>
    </row>
    <row r="54" spans="1:59" x14ac:dyDescent="0.2">
      <c r="B54" s="143">
        <f>COUNTIF(B17:B52,0)</f>
        <v>33</v>
      </c>
      <c r="C54" s="5"/>
      <c r="D54" s="5"/>
      <c r="E54" s="5"/>
      <c r="F54" s="5"/>
      <c r="G54" s="5"/>
      <c r="H54" s="5"/>
      <c r="I54" s="5"/>
      <c r="L54" s="5">
        <f>COUNTA(L17:L52)</f>
        <v>0</v>
      </c>
      <c r="M54" s="5">
        <f>COUNTA(M17:M52)</f>
        <v>0</v>
      </c>
      <c r="O54" s="332" t="s">
        <v>35</v>
      </c>
      <c r="P54" s="333"/>
      <c r="Q54" s="333"/>
      <c r="R54" s="333"/>
      <c r="S54" s="333"/>
      <c r="T54" s="333"/>
      <c r="U54" s="333"/>
      <c r="V54" s="333"/>
      <c r="W54" s="334"/>
      <c r="X54" s="338" t="s">
        <v>36</v>
      </c>
      <c r="Y54" s="339"/>
      <c r="Z54" s="339"/>
      <c r="AA54" s="339"/>
      <c r="AB54" s="339"/>
      <c r="AC54" s="340"/>
      <c r="AD54" s="135">
        <f t="shared" ref="AD54:AI54" si="43">AD53/AD56</f>
        <v>0</v>
      </c>
      <c r="AE54" s="135">
        <f t="shared" si="43"/>
        <v>1</v>
      </c>
      <c r="AF54" s="135">
        <f t="shared" si="43"/>
        <v>0.5</v>
      </c>
      <c r="AG54" s="135">
        <f t="shared" si="43"/>
        <v>1</v>
      </c>
      <c r="AH54" s="135">
        <f t="shared" si="43"/>
        <v>1</v>
      </c>
      <c r="AI54" s="135">
        <f t="shared" si="43"/>
        <v>0.46666666666666662</v>
      </c>
      <c r="AJ54" s="106">
        <f t="shared" ref="AJ54:AS54" si="44">AJ53/10</f>
        <v>0</v>
      </c>
      <c r="AK54" s="106">
        <f t="shared" si="44"/>
        <v>0.08</v>
      </c>
      <c r="AL54" s="106">
        <f t="shared" si="44"/>
        <v>0.06</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66</v>
      </c>
      <c r="AY54" s="136">
        <f>SUM(AY17:AY51)</f>
        <v>0</v>
      </c>
      <c r="AZ54" s="5">
        <f>COUNTA(AZ17:AZ52)</f>
        <v>0</v>
      </c>
      <c r="BA54" s="3"/>
      <c r="BB54" s="5">
        <f>COUNTA(BB17:BB52)</f>
        <v>0</v>
      </c>
      <c r="BC54" s="5"/>
      <c r="BD54" s="5"/>
      <c r="BE54" s="5">
        <f>COUNTA(BE17:BE52)</f>
        <v>0</v>
      </c>
      <c r="BF54" s="3"/>
      <c r="BG54" s="3"/>
    </row>
    <row r="55" spans="1:59" ht="13.5" thickBot="1" x14ac:dyDescent="0.25">
      <c r="L55" s="3"/>
      <c r="M55" s="3"/>
      <c r="O55" s="335">
        <f>IF(B54=0,"",IF(B54&gt;0,(O53+R53+U53)/3))</f>
        <v>0.5</v>
      </c>
      <c r="P55" s="336"/>
      <c r="Q55" s="336"/>
      <c r="R55" s="336"/>
      <c r="S55" s="336"/>
      <c r="T55" s="336"/>
      <c r="U55" s="336"/>
      <c r="V55" s="336"/>
      <c r="W55" s="337"/>
      <c r="X55" s="335">
        <f>IF(B54=0,"",IF(B54&gt;0,(X53+AA53)/2))</f>
        <v>1</v>
      </c>
      <c r="Y55" s="336"/>
      <c r="Z55" s="336"/>
      <c r="AA55" s="336"/>
      <c r="AB55" s="336"/>
      <c r="AC55" s="337"/>
      <c r="AD55" s="3">
        <f>COUNTIF(O17:O52,0)</f>
        <v>34</v>
      </c>
      <c r="AE55" s="3">
        <f>COUNTIF(R17:R52,0)</f>
        <v>34</v>
      </c>
      <c r="AF55" s="3">
        <f>COUNTIF(U17:U52,0)</f>
        <v>34</v>
      </c>
      <c r="AG55" s="3">
        <f>COUNTIF(X17:X52,0)</f>
        <v>34</v>
      </c>
      <c r="AH55" s="3">
        <f>COUNTIF(AA17:AA52,0)</f>
        <v>34</v>
      </c>
      <c r="AI55" s="3">
        <f>COUNTIF(AV17:AV52,"")</f>
        <v>33</v>
      </c>
      <c r="AJ55" s="106" t="e">
        <f>AJ53/K65*K67</f>
        <v>#DIV/0!</v>
      </c>
      <c r="AK55" s="106">
        <f>AK53/L65*L67</f>
        <v>0.26666666666666666</v>
      </c>
      <c r="AL55" s="106">
        <f>AL53/M65*M67</f>
        <v>0.19999999999999998</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3</v>
      </c>
      <c r="BA55" s="3"/>
      <c r="BB55" s="5"/>
      <c r="BC55" s="5"/>
      <c r="BD55" s="5"/>
      <c r="BE55" s="5"/>
      <c r="BF55" s="3"/>
      <c r="BG55" s="3"/>
    </row>
    <row r="56" spans="1:59" ht="20.25" thickBot="1" x14ac:dyDescent="0.45">
      <c r="B56" s="46" t="s">
        <v>7</v>
      </c>
      <c r="C56" s="174"/>
      <c r="D56" s="174"/>
      <c r="E56" s="174"/>
      <c r="F56" s="174"/>
      <c r="G56" s="174"/>
      <c r="H56" s="174"/>
      <c r="I56" s="174"/>
      <c r="J56" s="329">
        <f>J1</f>
        <v>4</v>
      </c>
      <c r="K56" s="330"/>
      <c r="L56" s="331"/>
      <c r="M56" s="32"/>
      <c r="O56" s="137"/>
      <c r="P56" s="137"/>
      <c r="Q56" s="137"/>
      <c r="R56" s="137"/>
      <c r="S56" s="137"/>
      <c r="T56" s="137"/>
      <c r="U56" s="137"/>
      <c r="V56" s="137"/>
      <c r="W56" s="137"/>
      <c r="X56" s="137"/>
      <c r="Y56" s="137"/>
      <c r="Z56" s="137"/>
      <c r="AA56" s="137"/>
      <c r="AB56" s="137"/>
      <c r="AC56" s="137"/>
      <c r="AD56" s="3">
        <f t="shared" ref="AD56:AI56" si="45">36-AD55</f>
        <v>2</v>
      </c>
      <c r="AE56" s="3">
        <f t="shared" si="45"/>
        <v>2</v>
      </c>
      <c r="AF56" s="3">
        <f t="shared" si="45"/>
        <v>2</v>
      </c>
      <c r="AG56" s="3">
        <f t="shared" si="45"/>
        <v>2</v>
      </c>
      <c r="AH56" s="3">
        <f t="shared" si="45"/>
        <v>2</v>
      </c>
      <c r="AI56" s="3">
        <f t="shared" si="45"/>
        <v>3</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0">
        <f>J2</f>
        <v>0</v>
      </c>
      <c r="K57" s="321"/>
      <c r="L57" s="322"/>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f>AD54</f>
        <v>0</v>
      </c>
      <c r="K60" s="106">
        <f>AE54</f>
        <v>1</v>
      </c>
      <c r="L60" s="106">
        <f>AF54</f>
        <v>0.5</v>
      </c>
      <c r="M60" s="106">
        <f>AG54</f>
        <v>1</v>
      </c>
      <c r="N60" s="106">
        <f>AH54</f>
        <v>1</v>
      </c>
      <c r="O60" s="106">
        <f>$AV$53</f>
        <v>0.46666666666666662</v>
      </c>
      <c r="P60" s="140" t="str">
        <f>$AW$53</f>
        <v/>
      </c>
      <c r="Q60" s="106">
        <f>$AZ$53</f>
        <v>1</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1</v>
      </c>
      <c r="M65" s="1">
        <f>COUNTIF($J$17:$J$52,"C")</f>
        <v>2</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f>K65/$B$53</f>
        <v>0</v>
      </c>
      <c r="L67" s="106">
        <f>L65/$B$53</f>
        <v>0.33333333333333331</v>
      </c>
      <c r="M67" s="106">
        <f>M65/$B$53</f>
        <v>0.66666666666666663</v>
      </c>
      <c r="N67" s="106">
        <f>N65/$B$53</f>
        <v>0</v>
      </c>
      <c r="O67" s="106">
        <f>O65/$B$53</f>
        <v>0</v>
      </c>
      <c r="P67" s="106"/>
      <c r="Q67" s="106"/>
    </row>
    <row r="68" spans="10:17" x14ac:dyDescent="0.2">
      <c r="J68" s="142" t="s">
        <v>85</v>
      </c>
      <c r="K68" s="106" t="e">
        <f>AJ55</f>
        <v>#DIV/0!</v>
      </c>
      <c r="L68" s="106">
        <f>AK55</f>
        <v>0.26666666666666666</v>
      </c>
      <c r="M68" s="106">
        <f>AL55</f>
        <v>0.19999999999999998</v>
      </c>
      <c r="N68" s="106" t="e">
        <f>AM55</f>
        <v>#DIV/0!</v>
      </c>
      <c r="O68" s="106" t="e">
        <f>AN55</f>
        <v>#DIV/0!</v>
      </c>
      <c r="P68" s="106"/>
      <c r="Q68" s="106"/>
    </row>
    <row r="69" spans="10:17" x14ac:dyDescent="0.2">
      <c r="J69" s="142" t="s">
        <v>86</v>
      </c>
      <c r="K69" s="106">
        <f>K66/$B$53</f>
        <v>0</v>
      </c>
      <c r="L69" s="106">
        <f>L66/$B$53</f>
        <v>0</v>
      </c>
      <c r="M69" s="106">
        <f>M66/$B$53</f>
        <v>0</v>
      </c>
      <c r="N69" s="106">
        <f>N66/$B$53</f>
        <v>0</v>
      </c>
      <c r="O69" s="106">
        <f>O66/$B$53</f>
        <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f>IF($E$6="ja",K67,IF($E6="nee",K69))</f>
        <v>0</v>
      </c>
      <c r="L71" s="106">
        <f>IF($E$6="ja",L67,IF($E6="nee",L69))</f>
        <v>0.33333333333333331</v>
      </c>
      <c r="M71" s="106">
        <f>IF($E$6="ja",M67,IF($E6="nee",M69))</f>
        <v>0.66666666666666663</v>
      </c>
      <c r="N71" s="106">
        <f>IF($E$6="ja",N67,IF($E6="nee",N69))</f>
        <v>0</v>
      </c>
      <c r="O71" s="106">
        <f>IF($E$6="ja",O67,IF($E6="nee",O69))</f>
        <v>0</v>
      </c>
      <c r="P71" s="106"/>
      <c r="Q71" s="106"/>
    </row>
    <row r="72" spans="10:17" x14ac:dyDescent="0.2">
      <c r="J72" s="142" t="s">
        <v>89</v>
      </c>
      <c r="K72" s="106" t="e">
        <f>IF($E$6="ja",K68,IF($E$6="nee",K70))</f>
        <v>#DIV/0!</v>
      </c>
      <c r="L72" s="106">
        <f>IF($E$6="ja",L68,IF($E$6="nee",L70))</f>
        <v>0.26666666666666666</v>
      </c>
      <c r="M72" s="106">
        <f>IF($E$6="ja",M68,IF($E$6="nee",M70))</f>
        <v>0.19999999999999998</v>
      </c>
      <c r="N72" s="106" t="e">
        <f>IF($E$6="ja",N68,IF($E$6="nee",N70))</f>
        <v>#DIV/0!</v>
      </c>
      <c r="O72" s="106" t="e">
        <f>IF($E$6="ja",O68,IF($E$6="nee",O70))</f>
        <v>#DIV/0!</v>
      </c>
      <c r="P72" s="106"/>
      <c r="Q72" s="106"/>
    </row>
  </sheetData>
  <sheetProtection algorithmName="SHA-512" hashValue="OAfnDwV7lr65FrFB3IFa/rUljhjlf1drfkAMSV+4TqVAnLpqLzcmJdDwljlTljfjAfWetOcVVh6cmgUVj4i5ig==" saltValue="itv8yxFJ+U0NMJQj+jXLwg==" spinCount="100000" sheet="1" objects="1" scenarios="1"/>
  <mergeCells count="20">
    <mergeCell ref="R53:T53"/>
    <mergeCell ref="U53:W53"/>
    <mergeCell ref="X53:Z53"/>
    <mergeCell ref="AA53:AC53"/>
    <mergeCell ref="J57:L57"/>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s>
  <phoneticPr fontId="3" type="noConversion"/>
  <conditionalFormatting sqref="AZ17:AZ52">
    <cfRule type="cellIs" dxfId="950" priority="2" stopIfTrue="1" operator="equal">
      <formula>"x"</formula>
    </cfRule>
    <cfRule type="expression" dxfId="949" priority="3" stopIfTrue="1">
      <formula>$B17&gt;0</formula>
    </cfRule>
    <cfRule type="cellIs" dxfId="948" priority="4" stopIfTrue="1" operator="equal">
      <formula>""</formula>
    </cfRule>
  </conditionalFormatting>
  <conditionalFormatting sqref="BB17:BB52">
    <cfRule type="expression" dxfId="947" priority="5" stopIfTrue="1">
      <formula>$BC17=""</formula>
    </cfRule>
    <cfRule type="expression" dxfId="946" priority="6" stopIfTrue="1">
      <formula>$BC17&lt;$BA17</formula>
    </cfRule>
    <cfRule type="expression" dxfId="945" priority="7" stopIfTrue="1">
      <formula>$BC17&gt;=$BA17</formula>
    </cfRule>
  </conditionalFormatting>
  <conditionalFormatting sqref="BE17:BE52">
    <cfRule type="expression" dxfId="944" priority="8" stopIfTrue="1">
      <formula>$BF17=""</formula>
    </cfRule>
    <cfRule type="expression" dxfId="943" priority="9" stopIfTrue="1">
      <formula>$BF17&lt;$BC17</formula>
    </cfRule>
    <cfRule type="expression" dxfId="942" priority="10" stopIfTrue="1">
      <formula>$BF17&gt;=$BC17</formula>
    </cfRule>
  </conditionalFormatting>
  <conditionalFormatting sqref="C17:C52">
    <cfRule type="expression" dxfId="941" priority="11" stopIfTrue="1">
      <formula>$C17=""</formula>
    </cfRule>
    <cfRule type="expression" dxfId="940" priority="12" stopIfTrue="1">
      <formula>$C17&gt;$E17</formula>
    </cfRule>
    <cfRule type="expression" dxfId="939" priority="13" stopIfTrue="1">
      <formula>$C17&lt;$E17</formula>
    </cfRule>
  </conditionalFormatting>
  <conditionalFormatting sqref="E17:E52">
    <cfRule type="expression" dxfId="938" priority="14" stopIfTrue="1">
      <formula>$E17=""</formula>
    </cfRule>
    <cfRule type="expression" dxfId="937" priority="15" stopIfTrue="1">
      <formula>$E17&gt;$C17</formula>
    </cfRule>
    <cfRule type="expression" dxfId="936" priority="16" stopIfTrue="1">
      <formula>$E17&lt;$C17</formula>
    </cfRule>
  </conditionalFormatting>
  <conditionalFormatting sqref="B17:B52">
    <cfRule type="cellIs" dxfId="935" priority="17" stopIfTrue="1" operator="equal">
      <formula>""</formula>
    </cfRule>
    <cfRule type="cellIs" dxfId="934" priority="18" stopIfTrue="1" operator="equal">
      <formula>0</formula>
    </cfRule>
    <cfRule type="expression" dxfId="933" priority="19" stopIfTrue="1">
      <formula>$AV17&lt;0.8</formula>
    </cfRule>
  </conditionalFormatting>
  <conditionalFormatting sqref="E6:E7 J8:K8">
    <cfRule type="cellIs" dxfId="932" priority="20" stopIfTrue="1" operator="equal">
      <formula>"ja"</formula>
    </cfRule>
    <cfRule type="cellIs" dxfId="931" priority="21" stopIfTrue="1" operator="equal">
      <formula>"nee"</formula>
    </cfRule>
  </conditionalFormatting>
  <conditionalFormatting sqref="BA17:BA52 BG53 BA53:BE53">
    <cfRule type="expression" dxfId="930" priority="22" stopIfTrue="1">
      <formula>$U$2="ja"</formula>
    </cfRule>
    <cfRule type="expression" dxfId="929" priority="23" stopIfTrue="1">
      <formula>$X$2="ja"</formula>
    </cfRule>
  </conditionalFormatting>
  <conditionalFormatting sqref="BE10:BE12 BB10:BB12">
    <cfRule type="expression" dxfId="928" priority="24" stopIfTrue="1">
      <formula>$X$2="ja"</formula>
    </cfRule>
  </conditionalFormatting>
  <conditionalFormatting sqref="BC17:BD52 BF17:BG52">
    <cfRule type="expression" dxfId="927" priority="25" stopIfTrue="1">
      <formula>$X$2="ja"</formula>
    </cfRule>
  </conditionalFormatting>
  <conditionalFormatting sqref="AW53">
    <cfRule type="cellIs" dxfId="926" priority="26" stopIfTrue="1" operator="equal">
      <formula>""</formula>
    </cfRule>
    <cfRule type="cellIs" dxfId="925" priority="27" stopIfTrue="1" operator="greaterThan">
      <formula>0.03</formula>
    </cfRule>
  </conditionalFormatting>
  <conditionalFormatting sqref="AW17:AW52">
    <cfRule type="cellIs" dxfId="924" priority="28" stopIfTrue="1" operator="equal">
      <formula>1</formula>
    </cfRule>
    <cfRule type="cellIs" dxfId="923" priority="29" stopIfTrue="1" operator="equal">
      <formula>""</formula>
    </cfRule>
  </conditionalFormatting>
  <conditionalFormatting sqref="AY17:AY52">
    <cfRule type="cellIs" dxfId="922" priority="30" stopIfTrue="1" operator="equal">
      <formula>1</formula>
    </cfRule>
    <cfRule type="cellIs" dxfId="921" priority="31" stopIfTrue="1" operator="lessThan">
      <formula>1</formula>
    </cfRule>
    <cfRule type="cellIs" dxfId="920" priority="32" stopIfTrue="1" operator="equal">
      <formula>""</formula>
    </cfRule>
  </conditionalFormatting>
  <conditionalFormatting sqref="AV10:AV12">
    <cfRule type="cellIs" dxfId="919" priority="33" stopIfTrue="1" operator="equal">
      <formula>1</formula>
    </cfRule>
    <cfRule type="cellIs" dxfId="918" priority="34" stopIfTrue="1" operator="lessThan">
      <formula>1</formula>
    </cfRule>
  </conditionalFormatting>
  <conditionalFormatting sqref="N10:N12">
    <cfRule type="expression" dxfId="917" priority="35" stopIfTrue="1">
      <formula>$U$2="ja"</formula>
    </cfRule>
    <cfRule type="expression" dxfId="916" priority="36" stopIfTrue="1">
      <formula>$X$2="ja"</formula>
    </cfRule>
  </conditionalFormatting>
  <conditionalFormatting sqref="O10:Q12">
    <cfRule type="expression" dxfId="915" priority="37" stopIfTrue="1">
      <formula>$U$1="ja"</formula>
    </cfRule>
    <cfRule type="expression" dxfId="914" priority="38" stopIfTrue="1">
      <formula>$X$1="ja"</formula>
    </cfRule>
    <cfRule type="expression" dxfId="913" priority="39" stopIfTrue="1">
      <formula>$AD$1="ja"</formula>
    </cfRule>
  </conditionalFormatting>
  <conditionalFormatting sqref="R10:T12">
    <cfRule type="expression" dxfId="912" priority="40" stopIfTrue="1">
      <formula>$AA$1="ja"</formula>
    </cfRule>
    <cfRule type="expression" dxfId="911" priority="41" stopIfTrue="1">
      <formula>$AD$1="ja"</formula>
    </cfRule>
  </conditionalFormatting>
  <conditionalFormatting sqref="U11:U12">
    <cfRule type="expression" dxfId="910" priority="42" stopIfTrue="1">
      <formula>$AD$1="ja"</formula>
    </cfRule>
  </conditionalFormatting>
  <conditionalFormatting sqref="X10:X12 AA10:AC12">
    <cfRule type="expression" dxfId="909" priority="43" stopIfTrue="1">
      <formula>$X$1="ja"</formula>
    </cfRule>
    <cfRule type="expression" dxfId="908" priority="44" stopIfTrue="1">
      <formula>$AA$1="ja"</formula>
    </cfRule>
    <cfRule type="expression" dxfId="907" priority="45" stopIfTrue="1">
      <formula>$AD$1="ja"</formula>
    </cfRule>
  </conditionalFormatting>
  <conditionalFormatting sqref="AU17:AU52">
    <cfRule type="cellIs" dxfId="906" priority="46" stopIfTrue="1" operator="notEqual">
      <formula>""</formula>
    </cfRule>
  </conditionalFormatting>
  <conditionalFormatting sqref="M17:M52">
    <cfRule type="cellIs" dxfId="905" priority="47" stopIfTrue="1" operator="equal">
      <formula>"x"</formula>
    </cfRule>
    <cfRule type="cellIs" dxfId="904" priority="48" stopIfTrue="1" operator="equal">
      <formula>""</formula>
    </cfRule>
  </conditionalFormatting>
  <conditionalFormatting sqref="H17:I52">
    <cfRule type="cellIs" dxfId="903" priority="49" stopIfTrue="1" operator="equal">
      <formula>""</formula>
    </cfRule>
  </conditionalFormatting>
  <conditionalFormatting sqref="L17:L52">
    <cfRule type="cellIs" dxfId="902" priority="50" stopIfTrue="1" operator="equal">
      <formula>"x"</formula>
    </cfRule>
    <cfRule type="cellIs" dxfId="901" priority="51" stopIfTrue="1" operator="equal">
      <formula>""</formula>
    </cfRule>
  </conditionalFormatting>
  <conditionalFormatting sqref="N17:N52">
    <cfRule type="cellIs" dxfId="900" priority="52" stopIfTrue="1" operator="equal">
      <formula>""</formula>
    </cfRule>
    <cfRule type="cellIs" dxfId="899" priority="53" stopIfTrue="1" operator="greaterThan">
      <formula>""</formula>
    </cfRule>
  </conditionalFormatting>
  <conditionalFormatting sqref="J17:K52">
    <cfRule type="cellIs" dxfId="898" priority="54" stopIfTrue="1" operator="equal">
      <formula>""</formula>
    </cfRule>
  </conditionalFormatting>
  <conditionalFormatting sqref="F17:G52">
    <cfRule type="expression" dxfId="897" priority="55" stopIfTrue="1">
      <formula>""</formula>
    </cfRule>
  </conditionalFormatting>
  <conditionalFormatting sqref="S17:S52 V17:V52 Y17:Y52 P17:P52 AB17:AB52">
    <cfRule type="cellIs" dxfId="896" priority="56" stopIfTrue="1" operator="equal">
      <formula>0</formula>
    </cfRule>
    <cfRule type="cellIs" dxfId="895" priority="57" stopIfTrue="1" operator="greaterThan">
      <formula>0</formula>
    </cfRule>
  </conditionalFormatting>
  <conditionalFormatting sqref="Q17:Q52 T17:T52 W17:W52 Z17:Z52 AC17:AC52">
    <cfRule type="cellIs" dxfId="894" priority="58" stopIfTrue="1" operator="equal">
      <formula>""</formula>
    </cfRule>
    <cfRule type="cellIs" dxfId="893" priority="59" stopIfTrue="1" operator="greaterThanOrEqual">
      <formula>1.3</formula>
    </cfRule>
    <cfRule type="cellIs" dxfId="892" priority="60" stopIfTrue="1" operator="lessThan">
      <formula>0.8</formula>
    </cfRule>
  </conditionalFormatting>
  <conditionalFormatting sqref="AV17:AV52">
    <cfRule type="cellIs" dxfId="891" priority="61" stopIfTrue="1" operator="equal">
      <formula>1</formula>
    </cfRule>
    <cfRule type="cellIs" dxfId="890" priority="62" stopIfTrue="1" operator="lessThan">
      <formula>0.8</formula>
    </cfRule>
    <cfRule type="cellIs" dxfId="889" priority="63" stopIfTrue="1" operator="between">
      <formula>0.8</formula>
      <formula>1</formula>
    </cfRule>
  </conditionalFormatting>
  <conditionalFormatting sqref="D17:D52">
    <cfRule type="cellIs" dxfId="888" priority="64" stopIfTrue="1" operator="equal">
      <formula>""</formula>
    </cfRule>
    <cfRule type="cellIs" dxfId="887" priority="65" stopIfTrue="1" operator="greaterThan">
      <formula>""</formula>
    </cfRule>
  </conditionalFormatting>
  <conditionalFormatting sqref="O17:O52">
    <cfRule type="cellIs" dxfId="886" priority="66" stopIfTrue="1" operator="equal">
      <formula>0</formula>
    </cfRule>
    <cfRule type="expression" dxfId="885" priority="67" stopIfTrue="1">
      <formula>$Q17&gt;=0.8</formula>
    </cfRule>
    <cfRule type="expression" dxfId="884" priority="68" stopIfTrue="1">
      <formula>$Q17&lt;0.8</formula>
    </cfRule>
  </conditionalFormatting>
  <conditionalFormatting sqref="R17:R52">
    <cfRule type="cellIs" dxfId="883" priority="69" stopIfTrue="1" operator="equal">
      <formula>0</formula>
    </cfRule>
    <cfRule type="expression" dxfId="882" priority="70" stopIfTrue="1">
      <formula>$T17&gt;=0.8</formula>
    </cfRule>
    <cfRule type="expression" dxfId="881" priority="71" stopIfTrue="1">
      <formula>$T17&lt;0.8</formula>
    </cfRule>
  </conditionalFormatting>
  <conditionalFormatting sqref="U17:U52">
    <cfRule type="cellIs" dxfId="880" priority="72" stopIfTrue="1" operator="equal">
      <formula>0</formula>
    </cfRule>
    <cfRule type="expression" dxfId="879" priority="73" stopIfTrue="1">
      <formula>$W17&gt;=0.8</formula>
    </cfRule>
    <cfRule type="expression" dxfId="878" priority="74" stopIfTrue="1">
      <formula>$W17&lt;0.8</formula>
    </cfRule>
  </conditionalFormatting>
  <conditionalFormatting sqref="X17:X52">
    <cfRule type="cellIs" dxfId="877" priority="75" stopIfTrue="1" operator="equal">
      <formula>0</formula>
    </cfRule>
    <cfRule type="expression" dxfId="876" priority="76" stopIfTrue="1">
      <formula>$Z17&gt;=0.8</formula>
    </cfRule>
    <cfRule type="expression" dxfId="875" priority="77" stopIfTrue="1">
      <formula>$Z17&lt;0.8</formula>
    </cfRule>
  </conditionalFormatting>
  <conditionalFormatting sqref="AA17:AA52">
    <cfRule type="cellIs" dxfId="874" priority="78" stopIfTrue="1" operator="equal">
      <formula>0</formula>
    </cfRule>
    <cfRule type="expression" dxfId="873" priority="79" stopIfTrue="1">
      <formula>$AC17&gt;=0.8</formula>
    </cfRule>
    <cfRule type="expression" dxfId="872" priority="80" stopIfTrue="1">
      <formula>$AC17&lt;0.8</formula>
    </cfRule>
  </conditionalFormatting>
  <conditionalFormatting sqref="Y10:Z12">
    <cfRule type="expression" dxfId="871" priority="160" stopIfTrue="1">
      <formula>$AA$1="ja"</formula>
    </cfRule>
    <cfRule type="expression" dxfId="870" priority="161" stopIfTrue="1">
      <formula>$AD$1="ja"</formula>
    </cfRule>
    <cfRule type="expression" dxfId="869" priority="162" stopIfTrue="1">
      <formula>$X$1="ja"</formula>
    </cfRule>
  </conditionalFormatting>
  <conditionalFormatting sqref="U10 V10:W12">
    <cfRule type="expression" dxfId="868" priority="163" stopIfTrue="1">
      <formula>$AD$1="ja"</formula>
    </cfRule>
  </conditionalFormatting>
  <conditionalFormatting sqref="AT17:AT52">
    <cfRule type="cellIs" dxfId="867" priority="1" stopIfTrue="1" operator="notEqual">
      <formula>""</formula>
    </cfRule>
  </conditionalFormatting>
  <dataValidations xWindow="287" yWindow="466"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V39"/>
  <sheetViews>
    <sheetView showGridLines="0" showRowColHeaders="0" zoomScale="75" zoomScaleNormal="75" workbookViewId="0">
      <selection activeCell="F4" sqref="F4"/>
    </sheetView>
  </sheetViews>
  <sheetFormatPr defaultRowHeight="12.75" x14ac:dyDescent="0.2"/>
  <cols>
    <col min="1" max="1" width="4.28515625" bestFit="1" customWidth="1"/>
    <col min="2" max="2" width="20.7109375" style="33" customWidth="1"/>
    <col min="3" max="3" width="4" customWidth="1"/>
    <col min="5" max="5" width="18" customWidth="1"/>
    <col min="6" max="10" width="12.28515625" bestFit="1" customWidth="1"/>
    <col min="11" max="11" width="9.42578125" bestFit="1" customWidth="1"/>
    <col min="12" max="12" width="10.5703125" bestFit="1" customWidth="1"/>
    <col min="19" max="19" width="18.140625" style="1" bestFit="1" customWidth="1"/>
    <col min="20" max="20" width="12.85546875" style="1" customWidth="1"/>
    <col min="21" max="21" width="18.5703125" style="1" bestFit="1" customWidth="1"/>
    <col min="22" max="22" width="15.7109375" style="1" bestFit="1" customWidth="1"/>
  </cols>
  <sheetData>
    <row r="1" spans="1:22" ht="13.5" thickBot="1" x14ac:dyDescent="0.25"/>
    <row r="2" spans="1:22" ht="21.75" thickBot="1" x14ac:dyDescent="0.45">
      <c r="A2" s="41"/>
      <c r="B2" s="42" t="str">
        <f>BEGINBLAD!A5</f>
        <v>namen leerlingen:</v>
      </c>
      <c r="D2" s="354" t="s">
        <v>7</v>
      </c>
      <c r="E2" s="361"/>
      <c r="F2" s="311">
        <f>'NW - M4'!$D$2</f>
        <v>4</v>
      </c>
      <c r="G2" s="355" t="str">
        <f>VLOOKUP($F$4,BEGINBLAD!A1:C41,2)</f>
        <v>leerling 2</v>
      </c>
      <c r="H2" s="355"/>
      <c r="I2" s="355"/>
      <c r="J2" s="355"/>
      <c r="K2" s="355"/>
      <c r="L2" s="355"/>
      <c r="M2" s="355"/>
      <c r="N2" s="356"/>
      <c r="S2" s="220" t="s">
        <v>106</v>
      </c>
      <c r="T2" s="232" t="s">
        <v>55</v>
      </c>
      <c r="U2" s="232" t="s">
        <v>107</v>
      </c>
      <c r="V2" s="233" t="s">
        <v>108</v>
      </c>
    </row>
    <row r="3" spans="1:22" ht="13.5" thickBot="1" x14ac:dyDescent="0.25">
      <c r="A3" s="37">
        <f>BEGINBLAD!A6</f>
        <v>1</v>
      </c>
      <c r="B3" s="38" t="str">
        <f>BEGINBLAD!B6</f>
        <v>leerling 1</v>
      </c>
    </row>
    <row r="4" spans="1:22" ht="21.75" thickBot="1" x14ac:dyDescent="0.45">
      <c r="A4" s="37">
        <f>BEGINBLAD!A7</f>
        <v>2</v>
      </c>
      <c r="B4" s="38" t="str">
        <f>BEGINBLAD!B7</f>
        <v>leerling 2</v>
      </c>
      <c r="D4" s="352" t="s">
        <v>24</v>
      </c>
      <c r="E4" s="353"/>
      <c r="F4" s="217">
        <v>2</v>
      </c>
      <c r="G4" s="357" t="s">
        <v>145</v>
      </c>
      <c r="H4" s="358"/>
      <c r="I4" s="359">
        <f>VLOOKUP($F$4,BEGINBLAD!A6:C41,3)</f>
        <v>38056</v>
      </c>
      <c r="J4" s="359"/>
      <c r="K4" s="359"/>
      <c r="L4" s="359"/>
      <c r="M4" s="359"/>
      <c r="N4" s="360"/>
      <c r="S4" s="220" t="s">
        <v>109</v>
      </c>
      <c r="T4" s="224" t="str">
        <f>VLOOKUP($F$4,'RIO - E4'!$A$17:$AB$52,10)</f>
        <v>C</v>
      </c>
      <c r="U4" s="231">
        <f>VLOOKUP($F$4,'RIO - E4'!$A$17:$AB$52,11)</f>
        <v>2.4</v>
      </c>
      <c r="V4" s="230">
        <v>1</v>
      </c>
    </row>
    <row r="5" spans="1:22" x14ac:dyDescent="0.2">
      <c r="A5" s="37">
        <f>BEGINBLAD!A8</f>
        <v>3</v>
      </c>
      <c r="B5" s="38" t="str">
        <f>BEGINBLAD!B8</f>
        <v>leerling 3</v>
      </c>
    </row>
    <row r="6" spans="1:22" ht="15" x14ac:dyDescent="0.3">
      <c r="A6" s="37">
        <f>BEGINBLAD!A9</f>
        <v>4</v>
      </c>
      <c r="B6" s="38">
        <f>BEGINBLAD!B9</f>
        <v>0</v>
      </c>
      <c r="S6" s="239" t="s">
        <v>8</v>
      </c>
      <c r="T6" s="246" t="str">
        <f>VLOOKUP($F$4,'RIO - E4'!$A$17:$AB$52,15)</f>
        <v>E</v>
      </c>
      <c r="U6" s="240">
        <f>VLOOKUP($F$4,'RIO - E4'!$A$17:$AB$52,16)</f>
        <v>0.7</v>
      </c>
      <c r="V6" s="241">
        <f>VLOOKUP($F$4,'RIO - E4'!$A$17:$AB$52,17)</f>
        <v>0.29166666666666669</v>
      </c>
    </row>
    <row r="7" spans="1:22" x14ac:dyDescent="0.2">
      <c r="A7" s="37">
        <f>BEGINBLAD!A10</f>
        <v>5</v>
      </c>
      <c r="B7" s="38">
        <f>BEGINBLAD!B10</f>
        <v>0</v>
      </c>
      <c r="S7" s="221"/>
      <c r="T7" s="30"/>
      <c r="U7" s="228"/>
      <c r="V7" s="222"/>
    </row>
    <row r="8" spans="1:22" ht="15" x14ac:dyDescent="0.3">
      <c r="A8" s="37">
        <f>BEGINBLAD!A11</f>
        <v>6</v>
      </c>
      <c r="B8" s="38">
        <f>BEGINBLAD!B11</f>
        <v>0</v>
      </c>
      <c r="F8" s="32"/>
      <c r="G8" s="32"/>
      <c r="H8" s="32"/>
      <c r="I8" s="32"/>
      <c r="J8" s="32"/>
      <c r="K8" s="32"/>
      <c r="L8" s="32"/>
      <c r="S8" s="221" t="s">
        <v>9</v>
      </c>
      <c r="T8" s="247" t="str">
        <f>VLOOKUP($F$4,'RIO - E4'!$A$17:$AB$52,18)</f>
        <v>B</v>
      </c>
      <c r="U8" s="227">
        <f>VLOOKUP($F$4,'RIO - E4'!$A$17:$AB$52,19)</f>
        <v>3.2</v>
      </c>
      <c r="V8" s="225">
        <f>VLOOKUP($F$4,'RIO - E4'!$A$17:$AB$52,20)</f>
        <v>1.3333333333333335</v>
      </c>
    </row>
    <row r="9" spans="1:22" x14ac:dyDescent="0.2">
      <c r="A9" s="37">
        <f>BEGINBLAD!A12</f>
        <v>7</v>
      </c>
      <c r="B9" s="38">
        <f>BEGINBLAD!B12</f>
        <v>0</v>
      </c>
      <c r="F9" s="32"/>
      <c r="G9" s="32"/>
      <c r="H9" s="32"/>
      <c r="I9" s="32"/>
      <c r="J9" s="32"/>
      <c r="K9" s="32"/>
      <c r="L9" s="32"/>
      <c r="S9" s="221"/>
      <c r="T9" s="30"/>
      <c r="U9" s="228"/>
      <c r="V9" s="222"/>
    </row>
    <row r="10" spans="1:22" ht="15" x14ac:dyDescent="0.3">
      <c r="A10" s="37">
        <f>BEGINBLAD!A13</f>
        <v>8</v>
      </c>
      <c r="B10" s="38">
        <f>BEGINBLAD!B13</f>
        <v>0</v>
      </c>
      <c r="F10" s="219">
        <f>VLOOKUP($F$4,'RIO - E4'!$A$17:$AB$52,17)</f>
        <v>0.29166666666666669</v>
      </c>
      <c r="G10" s="219">
        <f>VLOOKUP($F$4,'RIO - E4'!$A$17:$AB$52,20)</f>
        <v>1.3333333333333335</v>
      </c>
      <c r="H10" s="219">
        <f>VLOOKUP($F$4,'RIO - E4'!$A$17:$AB$52,23)</f>
        <v>0.625</v>
      </c>
      <c r="I10" s="219">
        <f>VLOOKUP($F$4,'RIO - E4'!$A$17:$AB$52,26)</f>
        <v>1.7916666666666667</v>
      </c>
      <c r="J10" s="219">
        <f>VLOOKUP($F$4,'RIO - E4'!$A$17:$AC$52,29)</f>
        <v>1.375</v>
      </c>
      <c r="K10" s="219" t="str">
        <f>VLOOKUP($F$4,'RIO - E4'!$A$17:$AB$52,10)</f>
        <v>C</v>
      </c>
      <c r="L10" s="32"/>
      <c r="M10" s="32"/>
      <c r="S10" s="221" t="s">
        <v>10</v>
      </c>
      <c r="T10" s="247" t="str">
        <f>VLOOKUP($F$4,'RIO - E4'!$A$17:$AB$52,21)</f>
        <v>D</v>
      </c>
      <c r="U10" s="227">
        <f>VLOOKUP($F$4,'RIO - E4'!$A$17:$AB$52,22)</f>
        <v>1.5</v>
      </c>
      <c r="V10" s="225">
        <f>VLOOKUP($F$4,'RIO - E4'!$A$17:$AB$52,23)</f>
        <v>0.625</v>
      </c>
    </row>
    <row r="11" spans="1:22" x14ac:dyDescent="0.2">
      <c r="A11" s="37">
        <f>BEGINBLAD!A14</f>
        <v>9</v>
      </c>
      <c r="B11" s="38">
        <f>BEGINBLAD!B14</f>
        <v>0</v>
      </c>
      <c r="F11" s="5" t="s">
        <v>102</v>
      </c>
      <c r="G11" s="5" t="s">
        <v>103</v>
      </c>
      <c r="H11" s="5" t="s">
        <v>44</v>
      </c>
      <c r="I11" s="5" t="s">
        <v>104</v>
      </c>
      <c r="J11" s="5" t="s">
        <v>105</v>
      </c>
      <c r="K11" s="5" t="s">
        <v>114</v>
      </c>
      <c r="L11" s="5" t="s">
        <v>101</v>
      </c>
      <c r="S11" s="221"/>
      <c r="T11" s="30"/>
      <c r="U11" s="228"/>
      <c r="V11" s="222"/>
    </row>
    <row r="12" spans="1:22" ht="15" x14ac:dyDescent="0.3">
      <c r="A12" s="37">
        <f>BEGINBLAD!A15</f>
        <v>10</v>
      </c>
      <c r="B12" s="38">
        <f>BEGINBLAD!B15</f>
        <v>0</v>
      </c>
      <c r="F12" s="218">
        <f>F10*L12</f>
        <v>0.17500000000000002</v>
      </c>
      <c r="G12" s="218">
        <f>G10*L12</f>
        <v>0.8</v>
      </c>
      <c r="H12" s="218">
        <f>H10*L12</f>
        <v>0.375</v>
      </c>
      <c r="I12" s="218">
        <f>I10*L12</f>
        <v>1.075</v>
      </c>
      <c r="J12" s="218">
        <f>J10*L12</f>
        <v>0.82499999999999996</v>
      </c>
      <c r="K12" s="218">
        <f>0.8*L12</f>
        <v>0.48</v>
      </c>
      <c r="L12" s="218">
        <f>IF(K10="A",1,IF(K10="B",0.8,IF(K10="C",0.6,IF(K10="D",0.4,IF(K10="E",0.2)))))</f>
        <v>0.6</v>
      </c>
      <c r="S12" s="221" t="s">
        <v>11</v>
      </c>
      <c r="T12" s="247" t="str">
        <f>VLOOKUP($F$4,'RIO - E4'!$A$17:$AB$52,24)</f>
        <v>A</v>
      </c>
      <c r="U12" s="227">
        <f>VLOOKUP($F$4,'RIO - E4'!$A$17:$AB$52,25)</f>
        <v>4.3</v>
      </c>
      <c r="V12" s="225">
        <f>VLOOKUP($F$4,'RIO - E4'!$A$17:$AB$52,26)</f>
        <v>1.7916666666666667</v>
      </c>
    </row>
    <row r="13" spans="1:22" x14ac:dyDescent="0.2">
      <c r="A13" s="37">
        <f>BEGINBLAD!A16</f>
        <v>11</v>
      </c>
      <c r="B13" s="38">
        <f>BEGINBLAD!B16</f>
        <v>0</v>
      </c>
      <c r="F13" s="32"/>
      <c r="G13" s="32"/>
      <c r="H13" s="32"/>
      <c r="I13" s="32"/>
      <c r="J13" s="32"/>
      <c r="K13" s="32"/>
      <c r="L13" s="32"/>
      <c r="S13" s="221"/>
      <c r="T13" s="30"/>
      <c r="U13" s="228"/>
      <c r="V13" s="222"/>
    </row>
    <row r="14" spans="1:22" ht="15" x14ac:dyDescent="0.3">
      <c r="A14" s="37">
        <f>BEGINBLAD!A17</f>
        <v>12</v>
      </c>
      <c r="B14" s="38">
        <f>BEGINBLAD!B17</f>
        <v>0</v>
      </c>
      <c r="D14" s="2"/>
      <c r="F14" s="32"/>
      <c r="G14" s="32"/>
      <c r="H14" s="32"/>
      <c r="I14" s="32"/>
      <c r="J14" s="32"/>
      <c r="K14" s="32"/>
      <c r="L14" s="32"/>
      <c r="S14" s="223" t="s">
        <v>12</v>
      </c>
      <c r="T14" s="248" t="str">
        <f>VLOOKUP($F$4,'RIO - E4'!$A$17:$AC$52,27)</f>
        <v>B</v>
      </c>
      <c r="U14" s="229">
        <f>VLOOKUP($F$4,'RIO - E4'!$A$17:$AC$52,28)</f>
        <v>3.3</v>
      </c>
      <c r="V14" s="226">
        <f>VLOOKUP($F$4,'RIO - E4'!$A$17:$AC$52,29)</f>
        <v>1.375</v>
      </c>
    </row>
    <row r="15" spans="1:22" x14ac:dyDescent="0.2">
      <c r="A15" s="37">
        <f>BEGINBLAD!A18</f>
        <v>13</v>
      </c>
      <c r="B15" s="38">
        <f>BEGINBLAD!B18</f>
        <v>0</v>
      </c>
    </row>
    <row r="16" spans="1:22" ht="21" x14ac:dyDescent="0.4">
      <c r="A16" s="37">
        <f>BEGINBLAD!A19</f>
        <v>14</v>
      </c>
      <c r="B16" s="38">
        <f>BEGINBLAD!B19</f>
        <v>0</v>
      </c>
      <c r="S16" s="220" t="s">
        <v>6</v>
      </c>
      <c r="T16" s="224" t="str">
        <f>IF(U16=0,"",IF(U16&gt;=4,"A",IF(U16&gt;=3,"B",IF(U16&gt;=2,"C",IF(U16&gt;=1,"D",IF(U16&gt;0,"E"))))))</f>
        <v>C</v>
      </c>
      <c r="U16" s="234">
        <f>AVERAGE(U6:U14)</f>
        <v>2.6</v>
      </c>
      <c r="V16" s="235">
        <f>VLOOKUP($F$4,'RIO - E4'!$A$17:$AC$52,14)</f>
        <v>0</v>
      </c>
    </row>
    <row r="17" spans="1:21" x14ac:dyDescent="0.2">
      <c r="A17" s="37">
        <f>BEGINBLAD!A20</f>
        <v>15</v>
      </c>
      <c r="B17" s="38">
        <f>BEGINBLAD!B20</f>
        <v>0</v>
      </c>
    </row>
    <row r="18" spans="1:21" x14ac:dyDescent="0.2">
      <c r="A18" s="37">
        <f>BEGINBLAD!A21</f>
        <v>16</v>
      </c>
      <c r="B18" s="38">
        <f>BEGINBLAD!B21</f>
        <v>0</v>
      </c>
      <c r="U18" s="5"/>
    </row>
    <row r="19" spans="1:21" x14ac:dyDescent="0.2">
      <c r="A19" s="37">
        <f>BEGINBLAD!A22</f>
        <v>17</v>
      </c>
      <c r="B19" s="38">
        <f>BEGINBLAD!B22</f>
        <v>0</v>
      </c>
      <c r="U19" s="5">
        <f>(U4/8)*10</f>
        <v>3</v>
      </c>
    </row>
    <row r="20" spans="1:21" x14ac:dyDescent="0.2">
      <c r="A20" s="37">
        <f>BEGINBLAD!A23</f>
        <v>18</v>
      </c>
      <c r="B20" s="38">
        <f>BEGINBLAD!B23</f>
        <v>0</v>
      </c>
      <c r="U20" s="5">
        <f>U4*0.8</f>
        <v>1.92</v>
      </c>
    </row>
    <row r="21" spans="1:21" x14ac:dyDescent="0.2">
      <c r="A21" s="37">
        <f>BEGINBLAD!A24</f>
        <v>19</v>
      </c>
      <c r="B21" s="38">
        <f>BEGINBLAD!B24</f>
        <v>0</v>
      </c>
      <c r="U21" s="3"/>
    </row>
    <row r="22" spans="1:21" x14ac:dyDescent="0.2">
      <c r="A22" s="37">
        <f>BEGINBLAD!A25</f>
        <v>20</v>
      </c>
      <c r="B22" s="38">
        <f>BEGINBLAD!B25</f>
        <v>0</v>
      </c>
      <c r="U22" s="3"/>
    </row>
    <row r="23" spans="1:21" x14ac:dyDescent="0.2">
      <c r="A23" s="37">
        <f>BEGINBLAD!A26</f>
        <v>21</v>
      </c>
      <c r="B23" s="38">
        <f>BEGINBLAD!B26</f>
        <v>0</v>
      </c>
      <c r="U23" s="3"/>
    </row>
    <row r="24" spans="1:21" x14ac:dyDescent="0.2">
      <c r="A24" s="37">
        <f>BEGINBLAD!A27</f>
        <v>22</v>
      </c>
      <c r="B24" s="38">
        <f>BEGINBLAD!B27</f>
        <v>0</v>
      </c>
    </row>
    <row r="25" spans="1:21" x14ac:dyDescent="0.2">
      <c r="A25" s="37">
        <f>BEGINBLAD!A28</f>
        <v>23</v>
      </c>
      <c r="B25" s="38">
        <f>BEGINBLAD!B28</f>
        <v>0</v>
      </c>
    </row>
    <row r="26" spans="1:21" x14ac:dyDescent="0.2">
      <c r="A26" s="37">
        <f>BEGINBLAD!A29</f>
        <v>24</v>
      </c>
      <c r="B26" s="38">
        <f>BEGINBLAD!B29</f>
        <v>0</v>
      </c>
    </row>
    <row r="27" spans="1:21" x14ac:dyDescent="0.2">
      <c r="A27" s="37">
        <f>BEGINBLAD!A30</f>
        <v>25</v>
      </c>
      <c r="B27" s="38">
        <f>BEGINBLAD!B30</f>
        <v>0</v>
      </c>
    </row>
    <row r="28" spans="1:21" x14ac:dyDescent="0.2">
      <c r="A28" s="37">
        <f>BEGINBLAD!A31</f>
        <v>26</v>
      </c>
      <c r="B28" s="38">
        <f>BEGINBLAD!B31</f>
        <v>0</v>
      </c>
    </row>
    <row r="29" spans="1:21" x14ac:dyDescent="0.2">
      <c r="A29" s="37">
        <f>BEGINBLAD!A32</f>
        <v>27</v>
      </c>
      <c r="B29" s="38">
        <f>BEGINBLAD!B32</f>
        <v>0</v>
      </c>
    </row>
    <row r="30" spans="1:21" x14ac:dyDescent="0.2">
      <c r="A30" s="37">
        <f>BEGINBLAD!A33</f>
        <v>28</v>
      </c>
      <c r="B30" s="38">
        <f>BEGINBLAD!B33</f>
        <v>0</v>
      </c>
    </row>
    <row r="31" spans="1:21" x14ac:dyDescent="0.2">
      <c r="A31" s="37">
        <f>BEGINBLAD!A34</f>
        <v>29</v>
      </c>
      <c r="B31" s="38">
        <f>BEGINBLAD!B34</f>
        <v>0</v>
      </c>
    </row>
    <row r="32" spans="1:21" x14ac:dyDescent="0.2">
      <c r="A32" s="37">
        <f>BEGINBLAD!A35</f>
        <v>30</v>
      </c>
      <c r="B32" s="38">
        <f>BEGINBLAD!B35</f>
        <v>0</v>
      </c>
    </row>
    <row r="33" spans="1:2" x14ac:dyDescent="0.2">
      <c r="A33" s="37">
        <f>BEGINBLAD!A36</f>
        <v>31</v>
      </c>
      <c r="B33" s="38">
        <f>BEGINBLAD!B36</f>
        <v>0</v>
      </c>
    </row>
    <row r="34" spans="1:2" x14ac:dyDescent="0.2">
      <c r="A34" s="37">
        <f>BEGINBLAD!A37</f>
        <v>32</v>
      </c>
      <c r="B34" s="38">
        <f>BEGINBLAD!B37</f>
        <v>0</v>
      </c>
    </row>
    <row r="35" spans="1:2" x14ac:dyDescent="0.2">
      <c r="A35" s="37">
        <f>BEGINBLAD!A38</f>
        <v>33</v>
      </c>
      <c r="B35" s="38">
        <f>BEGINBLAD!B38</f>
        <v>0</v>
      </c>
    </row>
    <row r="36" spans="1:2" x14ac:dyDescent="0.2">
      <c r="A36" s="37">
        <f>BEGINBLAD!A39</f>
        <v>34</v>
      </c>
      <c r="B36" s="38">
        <f>BEGINBLAD!B39</f>
        <v>0</v>
      </c>
    </row>
    <row r="37" spans="1:2" x14ac:dyDescent="0.2">
      <c r="A37" s="37">
        <f>BEGINBLAD!A40</f>
        <v>35</v>
      </c>
      <c r="B37" s="38">
        <f>BEGINBLAD!B40</f>
        <v>0</v>
      </c>
    </row>
    <row r="38" spans="1:2" x14ac:dyDescent="0.2">
      <c r="A38" s="37">
        <f>BEGINBLAD!A41</f>
        <v>36</v>
      </c>
      <c r="B38" s="38">
        <f>BEGINBLAD!B41</f>
        <v>0</v>
      </c>
    </row>
    <row r="39" spans="1:2" x14ac:dyDescent="0.2">
      <c r="A39" s="29"/>
      <c r="B39" s="34"/>
    </row>
  </sheetData>
  <sheetProtection algorithmName="SHA-512" hashValue="u3FO/OJZBsWsk6TJFwT7kdB9RzXri/ik8TouVDKYmfNDVQde3/nxMfFinyjMezkXLT4713bIRXqaFgJtfBLszQ==" saltValue="ata+py+LUHgTxBmNSnj4MA==" spinCount="100000" sheet="1" objects="1" scenarios="1"/>
  <mergeCells count="5">
    <mergeCell ref="G4:H4"/>
    <mergeCell ref="D4:E4"/>
    <mergeCell ref="D2:E2"/>
    <mergeCell ref="G2:N2"/>
    <mergeCell ref="I4:N4"/>
  </mergeCells>
  <phoneticPr fontId="3" type="noConversion"/>
  <conditionalFormatting sqref="V6:V14">
    <cfRule type="cellIs" dxfId="866" priority="1" stopIfTrue="1" operator="between">
      <formula>0.001</formula>
      <formula>0.8</formula>
    </cfRule>
    <cfRule type="cellIs" dxfId="865" priority="2" stopIfTrue="1" operator="greaterThanOrEqual">
      <formula>1.3</formula>
    </cfRule>
    <cfRule type="cellIs" dxfId="864" priority="3" stopIfTrue="1" operator="greaterThanOrEqual">
      <formula>1</formula>
    </cfRule>
  </conditionalFormatting>
  <conditionalFormatting sqref="V16">
    <cfRule type="cellIs" dxfId="863" priority="4" stopIfTrue="1" operator="equal">
      <formula>0</formula>
    </cfRule>
  </conditionalFormatting>
  <conditionalFormatting sqref="T6">
    <cfRule type="expression" dxfId="862" priority="5" stopIfTrue="1">
      <formula>$V$6&gt;=1.3</formula>
    </cfRule>
    <cfRule type="expression" dxfId="861" priority="6" stopIfTrue="1">
      <formula>$V$6&lt;0.8</formula>
    </cfRule>
    <cfRule type="expression" dxfId="860" priority="7" stopIfTrue="1">
      <formula>$V$6&lt;1</formula>
    </cfRule>
  </conditionalFormatting>
  <conditionalFormatting sqref="T8">
    <cfRule type="expression" dxfId="859" priority="8" stopIfTrue="1">
      <formula>$V$8&gt;=1.3</formula>
    </cfRule>
    <cfRule type="expression" dxfId="858" priority="9" stopIfTrue="1">
      <formula>$V$8&lt;0.8</formula>
    </cfRule>
    <cfRule type="expression" dxfId="857" priority="10" stopIfTrue="1">
      <formula>$V$8&lt;1</formula>
    </cfRule>
  </conditionalFormatting>
  <conditionalFormatting sqref="T10">
    <cfRule type="expression" dxfId="856" priority="11" stopIfTrue="1">
      <formula>$V$10&gt;=1.3</formula>
    </cfRule>
    <cfRule type="expression" dxfId="855" priority="12" stopIfTrue="1">
      <formula>$V$10&lt;0.8</formula>
    </cfRule>
    <cfRule type="expression" dxfId="854" priority="13" stopIfTrue="1">
      <formula>$V$10&lt;1</formula>
    </cfRule>
  </conditionalFormatting>
  <conditionalFormatting sqref="T12">
    <cfRule type="expression" dxfId="853" priority="14" stopIfTrue="1">
      <formula>$V$12&gt;=1.3</formula>
    </cfRule>
    <cfRule type="expression" dxfId="852" priority="15" stopIfTrue="1">
      <formula>$V$12&lt;0.8</formula>
    </cfRule>
    <cfRule type="expression" dxfId="851" priority="16" stopIfTrue="1">
      <formula>$V$12&lt;1</formula>
    </cfRule>
  </conditionalFormatting>
  <conditionalFormatting sqref="T14">
    <cfRule type="expression" dxfId="850" priority="17" stopIfTrue="1">
      <formula>$V$14&gt;=1.3</formula>
    </cfRule>
    <cfRule type="expression" dxfId="849" priority="18" stopIfTrue="1">
      <formula>$V$14&lt;0.8</formula>
    </cfRule>
    <cfRule type="expression" dxfId="848" priority="19" stopIfTrue="1">
      <formula>$V$14&lt;1</formula>
    </cfRule>
  </conditionalFormatting>
  <conditionalFormatting sqref="T16">
    <cfRule type="expression" dxfId="847" priority="20" stopIfTrue="1">
      <formula>$U$16&gt;=$U$19</formula>
    </cfRule>
    <cfRule type="expression" dxfId="846" priority="21" stopIfTrue="1">
      <formula>$U$16&lt;$U$20</formula>
    </cfRule>
    <cfRule type="expression" dxfId="845" priority="22" stopIfTrue="1">
      <formula>$T$16&lt;$U$4</formula>
    </cfRule>
  </conditionalFormatting>
  <pageMargins left="0.41" right="0.25" top="1" bottom="1" header="0.5" footer="0.5"/>
  <pageSetup paperSize="9" scale="62" orientation="landscape" horizontalDpi="4294967293" verticalDpi="0" r:id="rId1"/>
  <headerFooter alignWithMargins="0">
    <oddHeader>&amp;C&amp;14Ontwikkelings Perspectief (OP)</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B1:P44"/>
  <sheetViews>
    <sheetView showGridLines="0" showRowColHeaders="0" zoomScale="85" zoomScaleNormal="85" workbookViewId="0">
      <selection activeCell="F6" sqref="F6"/>
    </sheetView>
  </sheetViews>
  <sheetFormatPr defaultRowHeight="12.75" x14ac:dyDescent="0.2"/>
  <cols>
    <col min="1" max="1" width="9.140625" style="6"/>
    <col min="2" max="2" width="4" style="12" bestFit="1" customWidth="1"/>
    <col min="3" max="3" width="20.7109375" style="11" customWidth="1"/>
    <col min="4" max="9" width="5.7109375" style="7" customWidth="1"/>
    <col min="10" max="11" width="5.7109375" style="7" hidden="1" customWidth="1"/>
    <col min="12" max="14" width="5.7109375" style="7" customWidth="1"/>
    <col min="15" max="15" width="9.140625" style="15"/>
    <col min="16" max="16" width="9.140625" style="8"/>
    <col min="17" max="16384" width="9.140625" style="6"/>
  </cols>
  <sheetData>
    <row r="1" spans="2:16" ht="13.5" thickBot="1" x14ac:dyDescent="0.25"/>
    <row r="2" spans="2:16" ht="21.75" thickBot="1" x14ac:dyDescent="0.45">
      <c r="B2" s="318" t="s">
        <v>115</v>
      </c>
      <c r="C2" s="319"/>
      <c r="D2" s="301">
        <v>5</v>
      </c>
      <c r="E2" s="316"/>
      <c r="F2" s="316"/>
      <c r="G2" s="314"/>
      <c r="H2" s="314"/>
      <c r="I2" s="314"/>
      <c r="J2" s="314"/>
      <c r="K2" s="314"/>
      <c r="L2" s="314"/>
      <c r="M2" s="314"/>
      <c r="N2" s="314"/>
    </row>
    <row r="4" spans="2:16" ht="15.75" thickBot="1" x14ac:dyDescent="0.25">
      <c r="C4" s="14"/>
      <c r="P4" s="9"/>
    </row>
    <row r="5" spans="2:16" ht="94.5" x14ac:dyDescent="0.2">
      <c r="B5" s="13"/>
      <c r="C5" s="16" t="s">
        <v>13</v>
      </c>
      <c r="D5" s="22" t="s">
        <v>14</v>
      </c>
      <c r="E5" s="23" t="s">
        <v>27</v>
      </c>
      <c r="F5" s="23" t="s">
        <v>9</v>
      </c>
      <c r="G5" s="23" t="s">
        <v>134</v>
      </c>
      <c r="H5" s="23" t="s">
        <v>12</v>
      </c>
      <c r="I5" s="151" t="s">
        <v>16</v>
      </c>
      <c r="J5" s="22" t="s">
        <v>5</v>
      </c>
      <c r="K5" s="151" t="s">
        <v>15</v>
      </c>
      <c r="L5" s="164"/>
      <c r="M5" s="160" t="s">
        <v>90</v>
      </c>
      <c r="N5" s="161" t="s">
        <v>91</v>
      </c>
      <c r="O5" s="17"/>
      <c r="P5" s="18"/>
    </row>
    <row r="6" spans="2:16" s="10" customFormat="1" ht="19.5" customHeight="1" x14ac:dyDescent="0.2">
      <c r="B6" s="39">
        <v>1</v>
      </c>
      <c r="C6" s="27" t="str">
        <f>BEGINBLAD!B6</f>
        <v>leerling 1</v>
      </c>
      <c r="D6" s="152">
        <v>4.4000000000000004</v>
      </c>
      <c r="E6" s="153">
        <v>1.3</v>
      </c>
      <c r="F6" s="153">
        <v>2.4</v>
      </c>
      <c r="G6" s="153"/>
      <c r="H6" s="153"/>
      <c r="I6" s="162"/>
      <c r="J6" s="43">
        <f t="shared" ref="J6:J41" si="0">SUM(D6:I6)</f>
        <v>8.1</v>
      </c>
      <c r="K6" s="166">
        <f t="shared" ref="K6:K41" si="1">COUNTA(D6:I6)</f>
        <v>3</v>
      </c>
      <c r="L6" s="165"/>
      <c r="M6" s="156">
        <f t="shared" ref="M6:M41" si="2">IF(K6=0,"",IF(K6&gt;0,J6/K6))</f>
        <v>2.6999999999999997</v>
      </c>
      <c r="N6" s="157" t="str">
        <f t="shared" ref="N6:N41" si="3">IF(M6="","",IF(M6&gt;=4.5,"A+",IF(M6&gt;=4,"A",IF(M6&gt;=3,"B",IF(M6&gt;2.3,"C",IF(M6&gt;=2,"C-",IF(M6&gt;=1,"D",IF(M6&gt;0,"E"))))))))</f>
        <v>C</v>
      </c>
      <c r="O6" s="24"/>
      <c r="P6" s="20"/>
    </row>
    <row r="7" spans="2:16" ht="19.5" customHeight="1" x14ac:dyDescent="0.2">
      <c r="B7" s="39">
        <v>2</v>
      </c>
      <c r="C7" s="27" t="str">
        <f>BEGINBLAD!B7</f>
        <v>leerling 2</v>
      </c>
      <c r="D7" s="152">
        <v>0.9</v>
      </c>
      <c r="E7" s="153">
        <v>0.6</v>
      </c>
      <c r="F7" s="153">
        <v>1.9</v>
      </c>
      <c r="G7" s="153">
        <v>2.6</v>
      </c>
      <c r="H7" s="153">
        <v>2.7</v>
      </c>
      <c r="I7" s="162">
        <v>2.2000000000000002</v>
      </c>
      <c r="J7" s="43">
        <f t="shared" si="0"/>
        <v>10.899999999999999</v>
      </c>
      <c r="K7" s="166">
        <f t="shared" si="1"/>
        <v>6</v>
      </c>
      <c r="L7" s="165"/>
      <c r="M7" s="156">
        <f t="shared" si="2"/>
        <v>1.8166666666666664</v>
      </c>
      <c r="N7" s="157" t="str">
        <f t="shared" si="3"/>
        <v>D</v>
      </c>
      <c r="O7" s="19"/>
      <c r="P7" s="20"/>
    </row>
    <row r="8" spans="2:16" s="10" customFormat="1" ht="19.5" customHeight="1" x14ac:dyDescent="0.2">
      <c r="B8" s="39">
        <v>3</v>
      </c>
      <c r="C8" s="27" t="str">
        <f>BEGINBLAD!B8</f>
        <v>leerling 3</v>
      </c>
      <c r="D8" s="152">
        <v>2.5</v>
      </c>
      <c r="E8" s="153">
        <v>3</v>
      </c>
      <c r="F8" s="153">
        <v>3.2</v>
      </c>
      <c r="G8" s="153">
        <v>0.6</v>
      </c>
      <c r="H8" s="153">
        <v>1</v>
      </c>
      <c r="I8" s="162">
        <v>2.6</v>
      </c>
      <c r="J8" s="43">
        <f t="shared" si="0"/>
        <v>12.899999999999999</v>
      </c>
      <c r="K8" s="166">
        <f t="shared" si="1"/>
        <v>6</v>
      </c>
      <c r="L8" s="165"/>
      <c r="M8" s="156">
        <f t="shared" si="2"/>
        <v>2.15</v>
      </c>
      <c r="N8" s="157" t="str">
        <f t="shared" si="3"/>
        <v>C-</v>
      </c>
      <c r="O8" s="19"/>
      <c r="P8" s="20"/>
    </row>
    <row r="9" spans="2:16" ht="19.5" customHeight="1" x14ac:dyDescent="0.2">
      <c r="B9" s="39">
        <v>4</v>
      </c>
      <c r="C9" s="27">
        <f>BEGINBLAD!B9</f>
        <v>0</v>
      </c>
      <c r="D9" s="152"/>
      <c r="E9" s="153"/>
      <c r="F9" s="153"/>
      <c r="G9" s="153"/>
      <c r="H9" s="153"/>
      <c r="I9" s="162"/>
      <c r="J9" s="43">
        <f t="shared" si="0"/>
        <v>0</v>
      </c>
      <c r="K9" s="166">
        <f t="shared" si="1"/>
        <v>0</v>
      </c>
      <c r="L9" s="165"/>
      <c r="M9" s="156" t="str">
        <f t="shared" si="2"/>
        <v/>
      </c>
      <c r="N9" s="157" t="str">
        <f t="shared" si="3"/>
        <v/>
      </c>
      <c r="O9" s="19"/>
      <c r="P9" s="20"/>
    </row>
    <row r="10" spans="2:16" s="10" customFormat="1" ht="19.5" customHeight="1" x14ac:dyDescent="0.2">
      <c r="B10" s="39">
        <v>5</v>
      </c>
      <c r="C10" s="27">
        <f>BEGINBLAD!B10</f>
        <v>0</v>
      </c>
      <c r="D10" s="152"/>
      <c r="E10" s="153"/>
      <c r="F10" s="153"/>
      <c r="G10" s="153"/>
      <c r="H10" s="153"/>
      <c r="I10" s="162"/>
      <c r="J10" s="43">
        <f t="shared" si="0"/>
        <v>0</v>
      </c>
      <c r="K10" s="166">
        <f t="shared" si="1"/>
        <v>0</v>
      </c>
      <c r="L10" s="165"/>
      <c r="M10" s="156" t="str">
        <f t="shared" si="2"/>
        <v/>
      </c>
      <c r="N10" s="157" t="str">
        <f t="shared" si="3"/>
        <v/>
      </c>
      <c r="O10" s="19"/>
      <c r="P10" s="21"/>
    </row>
    <row r="11" spans="2:16" ht="19.5" customHeight="1" x14ac:dyDescent="0.2">
      <c r="B11" s="39">
        <v>6</v>
      </c>
      <c r="C11" s="27">
        <f>BEGINBLAD!B11</f>
        <v>0</v>
      </c>
      <c r="D11" s="152"/>
      <c r="E11" s="153"/>
      <c r="F11" s="153"/>
      <c r="G11" s="153"/>
      <c r="H11" s="153"/>
      <c r="I11" s="162"/>
      <c r="J11" s="43">
        <f t="shared" si="0"/>
        <v>0</v>
      </c>
      <c r="K11" s="166">
        <f t="shared" si="1"/>
        <v>0</v>
      </c>
      <c r="L11" s="165"/>
      <c r="M11" s="156" t="str">
        <f t="shared" si="2"/>
        <v/>
      </c>
      <c r="N11" s="157" t="str">
        <f t="shared" si="3"/>
        <v/>
      </c>
      <c r="O11" s="19"/>
      <c r="P11" s="20"/>
    </row>
    <row r="12" spans="2:16" s="10" customFormat="1" ht="19.5" customHeight="1" x14ac:dyDescent="0.2">
      <c r="B12" s="39">
        <v>7</v>
      </c>
      <c r="C12" s="27">
        <f>BEGINBLAD!B12</f>
        <v>0</v>
      </c>
      <c r="D12" s="152"/>
      <c r="E12" s="153"/>
      <c r="F12" s="153"/>
      <c r="G12" s="153"/>
      <c r="H12" s="153"/>
      <c r="I12" s="162"/>
      <c r="J12" s="43">
        <f t="shared" si="0"/>
        <v>0</v>
      </c>
      <c r="K12" s="166">
        <f t="shared" si="1"/>
        <v>0</v>
      </c>
      <c r="L12" s="165"/>
      <c r="M12" s="156" t="str">
        <f t="shared" si="2"/>
        <v/>
      </c>
      <c r="N12" s="157" t="str">
        <f t="shared" si="3"/>
        <v/>
      </c>
      <c r="O12" s="19"/>
      <c r="P12" s="20"/>
    </row>
    <row r="13" spans="2:16" ht="19.5" customHeight="1" x14ac:dyDescent="0.2">
      <c r="B13" s="39">
        <v>8</v>
      </c>
      <c r="C13" s="27">
        <f>BEGINBLAD!B13</f>
        <v>0</v>
      </c>
      <c r="D13" s="152"/>
      <c r="E13" s="153"/>
      <c r="F13" s="153"/>
      <c r="G13" s="153"/>
      <c r="H13" s="153"/>
      <c r="I13" s="162"/>
      <c r="J13" s="43">
        <f t="shared" si="0"/>
        <v>0</v>
      </c>
      <c r="K13" s="166">
        <f t="shared" si="1"/>
        <v>0</v>
      </c>
      <c r="L13" s="165"/>
      <c r="M13" s="156" t="str">
        <f t="shared" si="2"/>
        <v/>
      </c>
      <c r="N13" s="157" t="str">
        <f t="shared" si="3"/>
        <v/>
      </c>
      <c r="O13" s="19"/>
      <c r="P13" s="20"/>
    </row>
    <row r="14" spans="2:16" s="10" customFormat="1" ht="19.5" customHeight="1" x14ac:dyDescent="0.2">
      <c r="B14" s="39">
        <v>9</v>
      </c>
      <c r="C14" s="27">
        <f>BEGINBLAD!B14</f>
        <v>0</v>
      </c>
      <c r="D14" s="152"/>
      <c r="E14" s="153"/>
      <c r="F14" s="153"/>
      <c r="G14" s="153"/>
      <c r="H14" s="153"/>
      <c r="I14" s="162"/>
      <c r="J14" s="43">
        <f t="shared" si="0"/>
        <v>0</v>
      </c>
      <c r="K14" s="166">
        <f t="shared" si="1"/>
        <v>0</v>
      </c>
      <c r="L14" s="165"/>
      <c r="M14" s="156" t="str">
        <f t="shared" si="2"/>
        <v/>
      </c>
      <c r="N14" s="157" t="str">
        <f t="shared" si="3"/>
        <v/>
      </c>
      <c r="O14" s="19"/>
      <c r="P14" s="20"/>
    </row>
    <row r="15" spans="2:16" ht="19.5" customHeight="1" x14ac:dyDescent="0.2">
      <c r="B15" s="39">
        <v>10</v>
      </c>
      <c r="C15" s="27">
        <f>BEGINBLAD!B15</f>
        <v>0</v>
      </c>
      <c r="D15" s="152"/>
      <c r="E15" s="153"/>
      <c r="F15" s="153"/>
      <c r="G15" s="153"/>
      <c r="H15" s="153"/>
      <c r="I15" s="162"/>
      <c r="J15" s="43">
        <f t="shared" si="0"/>
        <v>0</v>
      </c>
      <c r="K15" s="166">
        <f t="shared" si="1"/>
        <v>0</v>
      </c>
      <c r="L15" s="165"/>
      <c r="M15" s="156" t="str">
        <f t="shared" si="2"/>
        <v/>
      </c>
      <c r="N15" s="157" t="str">
        <f t="shared" si="3"/>
        <v/>
      </c>
      <c r="O15" s="19"/>
      <c r="P15" s="20"/>
    </row>
    <row r="16" spans="2:16" s="10" customFormat="1" ht="19.5" customHeight="1" x14ac:dyDescent="0.2">
      <c r="B16" s="39">
        <v>11</v>
      </c>
      <c r="C16" s="27">
        <f>BEGINBLAD!B16</f>
        <v>0</v>
      </c>
      <c r="D16" s="152"/>
      <c r="E16" s="153"/>
      <c r="F16" s="153"/>
      <c r="G16" s="153"/>
      <c r="H16" s="153"/>
      <c r="I16" s="162"/>
      <c r="J16" s="43">
        <f t="shared" si="0"/>
        <v>0</v>
      </c>
      <c r="K16" s="166">
        <f t="shared" si="1"/>
        <v>0</v>
      </c>
      <c r="L16" s="165"/>
      <c r="M16" s="156" t="str">
        <f t="shared" si="2"/>
        <v/>
      </c>
      <c r="N16" s="157" t="str">
        <f t="shared" si="3"/>
        <v/>
      </c>
      <c r="O16" s="19"/>
      <c r="P16" s="20"/>
    </row>
    <row r="17" spans="2:16" ht="19.5" customHeight="1" x14ac:dyDescent="0.2">
      <c r="B17" s="39">
        <v>12</v>
      </c>
      <c r="C17" s="27">
        <f>BEGINBLAD!B17</f>
        <v>0</v>
      </c>
      <c r="D17" s="152"/>
      <c r="E17" s="153"/>
      <c r="F17" s="153"/>
      <c r="G17" s="153"/>
      <c r="H17" s="153"/>
      <c r="I17" s="162"/>
      <c r="J17" s="43">
        <f t="shared" si="0"/>
        <v>0</v>
      </c>
      <c r="K17" s="166">
        <f t="shared" si="1"/>
        <v>0</v>
      </c>
      <c r="L17" s="165"/>
      <c r="M17" s="156" t="str">
        <f t="shared" si="2"/>
        <v/>
      </c>
      <c r="N17" s="157" t="str">
        <f t="shared" si="3"/>
        <v/>
      </c>
      <c r="O17" s="19"/>
      <c r="P17" s="20"/>
    </row>
    <row r="18" spans="2:16" s="10" customFormat="1" ht="19.5" customHeight="1" x14ac:dyDescent="0.2">
      <c r="B18" s="39">
        <v>13</v>
      </c>
      <c r="C18" s="27">
        <f>BEGINBLAD!B18</f>
        <v>0</v>
      </c>
      <c r="D18" s="152"/>
      <c r="E18" s="153"/>
      <c r="F18" s="153"/>
      <c r="G18" s="153"/>
      <c r="H18" s="153"/>
      <c r="I18" s="162"/>
      <c r="J18" s="43">
        <f t="shared" si="0"/>
        <v>0</v>
      </c>
      <c r="K18" s="166">
        <f t="shared" si="1"/>
        <v>0</v>
      </c>
      <c r="L18" s="165"/>
      <c r="M18" s="156" t="str">
        <f t="shared" si="2"/>
        <v/>
      </c>
      <c r="N18" s="157" t="str">
        <f t="shared" si="3"/>
        <v/>
      </c>
      <c r="O18" s="19"/>
      <c r="P18" s="20"/>
    </row>
    <row r="19" spans="2:16" ht="19.5" customHeight="1" x14ac:dyDescent="0.2">
      <c r="B19" s="39">
        <v>14</v>
      </c>
      <c r="C19" s="27">
        <f>BEGINBLAD!B19</f>
        <v>0</v>
      </c>
      <c r="D19" s="152"/>
      <c r="E19" s="153"/>
      <c r="F19" s="153"/>
      <c r="G19" s="153"/>
      <c r="H19" s="153"/>
      <c r="I19" s="162"/>
      <c r="J19" s="43">
        <f t="shared" si="0"/>
        <v>0</v>
      </c>
      <c r="K19" s="166">
        <f t="shared" si="1"/>
        <v>0</v>
      </c>
      <c r="L19" s="165"/>
      <c r="M19" s="156" t="str">
        <f t="shared" si="2"/>
        <v/>
      </c>
      <c r="N19" s="157" t="str">
        <f t="shared" si="3"/>
        <v/>
      </c>
      <c r="O19" s="19"/>
      <c r="P19" s="20"/>
    </row>
    <row r="20" spans="2:16" s="10" customFormat="1" ht="19.5" customHeight="1" x14ac:dyDescent="0.2">
      <c r="B20" s="39">
        <v>15</v>
      </c>
      <c r="C20" s="27">
        <f>BEGINBLAD!B20</f>
        <v>0</v>
      </c>
      <c r="D20" s="152"/>
      <c r="E20" s="153"/>
      <c r="F20" s="153"/>
      <c r="G20" s="153"/>
      <c r="H20" s="153"/>
      <c r="I20" s="162"/>
      <c r="J20" s="43">
        <f t="shared" si="0"/>
        <v>0</v>
      </c>
      <c r="K20" s="166">
        <f t="shared" si="1"/>
        <v>0</v>
      </c>
      <c r="L20" s="165"/>
      <c r="M20" s="156" t="str">
        <f t="shared" si="2"/>
        <v/>
      </c>
      <c r="N20" s="157" t="str">
        <f t="shared" si="3"/>
        <v/>
      </c>
      <c r="O20" s="19"/>
      <c r="P20" s="20"/>
    </row>
    <row r="21" spans="2:16" ht="19.5" customHeight="1" x14ac:dyDescent="0.2">
      <c r="B21" s="39">
        <v>16</v>
      </c>
      <c r="C21" s="27">
        <f>BEGINBLAD!B21</f>
        <v>0</v>
      </c>
      <c r="D21" s="152"/>
      <c r="E21" s="153"/>
      <c r="F21" s="153"/>
      <c r="G21" s="153"/>
      <c r="H21" s="153"/>
      <c r="I21" s="162"/>
      <c r="J21" s="43">
        <f t="shared" si="0"/>
        <v>0</v>
      </c>
      <c r="K21" s="166">
        <f t="shared" si="1"/>
        <v>0</v>
      </c>
      <c r="L21" s="165"/>
      <c r="M21" s="156" t="str">
        <f t="shared" si="2"/>
        <v/>
      </c>
      <c r="N21" s="157" t="str">
        <f t="shared" si="3"/>
        <v/>
      </c>
      <c r="O21" s="19"/>
      <c r="P21" s="20"/>
    </row>
    <row r="22" spans="2:16" s="10" customFormat="1" ht="19.5" customHeight="1" x14ac:dyDescent="0.2">
      <c r="B22" s="39">
        <v>17</v>
      </c>
      <c r="C22" s="27">
        <f>BEGINBLAD!B22</f>
        <v>0</v>
      </c>
      <c r="D22" s="152"/>
      <c r="E22" s="153"/>
      <c r="F22" s="153"/>
      <c r="G22" s="153"/>
      <c r="H22" s="153"/>
      <c r="I22" s="162"/>
      <c r="J22" s="43">
        <f t="shared" si="0"/>
        <v>0</v>
      </c>
      <c r="K22" s="166">
        <f t="shared" si="1"/>
        <v>0</v>
      </c>
      <c r="L22" s="165"/>
      <c r="M22" s="156" t="str">
        <f t="shared" si="2"/>
        <v/>
      </c>
      <c r="N22" s="157" t="str">
        <f t="shared" si="3"/>
        <v/>
      </c>
      <c r="O22" s="19"/>
      <c r="P22" s="20"/>
    </row>
    <row r="23" spans="2:16" ht="19.5" customHeight="1" x14ac:dyDescent="0.2">
      <c r="B23" s="39">
        <v>18</v>
      </c>
      <c r="C23" s="27">
        <f>BEGINBLAD!B23</f>
        <v>0</v>
      </c>
      <c r="D23" s="152"/>
      <c r="E23" s="153"/>
      <c r="F23" s="153"/>
      <c r="G23" s="153"/>
      <c r="H23" s="153"/>
      <c r="I23" s="162"/>
      <c r="J23" s="43">
        <f t="shared" si="0"/>
        <v>0</v>
      </c>
      <c r="K23" s="166">
        <f t="shared" si="1"/>
        <v>0</v>
      </c>
      <c r="L23" s="165"/>
      <c r="M23" s="156" t="str">
        <f t="shared" si="2"/>
        <v/>
      </c>
      <c r="N23" s="157" t="str">
        <f t="shared" si="3"/>
        <v/>
      </c>
      <c r="O23" s="19"/>
      <c r="P23" s="20"/>
    </row>
    <row r="24" spans="2:16" s="10" customFormat="1" ht="19.5" customHeight="1" x14ac:dyDescent="0.2">
      <c r="B24" s="39">
        <v>19</v>
      </c>
      <c r="C24" s="27">
        <f>BEGINBLAD!B24</f>
        <v>0</v>
      </c>
      <c r="D24" s="152"/>
      <c r="E24" s="153"/>
      <c r="F24" s="153"/>
      <c r="G24" s="153"/>
      <c r="H24" s="153"/>
      <c r="I24" s="162"/>
      <c r="J24" s="43">
        <f t="shared" si="0"/>
        <v>0</v>
      </c>
      <c r="K24" s="166">
        <f t="shared" si="1"/>
        <v>0</v>
      </c>
      <c r="L24" s="165"/>
      <c r="M24" s="156" t="str">
        <f t="shared" si="2"/>
        <v/>
      </c>
      <c r="N24" s="157" t="str">
        <f t="shared" si="3"/>
        <v/>
      </c>
      <c r="O24" s="19"/>
      <c r="P24" s="20"/>
    </row>
    <row r="25" spans="2:16" ht="19.5" customHeight="1" x14ac:dyDescent="0.2">
      <c r="B25" s="39">
        <v>20</v>
      </c>
      <c r="C25" s="27">
        <f>BEGINBLAD!B25</f>
        <v>0</v>
      </c>
      <c r="D25" s="152"/>
      <c r="E25" s="153"/>
      <c r="F25" s="153"/>
      <c r="G25" s="153"/>
      <c r="H25" s="153"/>
      <c r="I25" s="162"/>
      <c r="J25" s="43">
        <f t="shared" si="0"/>
        <v>0</v>
      </c>
      <c r="K25" s="166">
        <f t="shared" si="1"/>
        <v>0</v>
      </c>
      <c r="L25" s="165"/>
      <c r="M25" s="156" t="str">
        <f t="shared" si="2"/>
        <v/>
      </c>
      <c r="N25" s="157" t="str">
        <f t="shared" si="3"/>
        <v/>
      </c>
      <c r="O25" s="19"/>
      <c r="P25" s="20"/>
    </row>
    <row r="26" spans="2:16" s="10" customFormat="1" ht="19.5" customHeight="1" x14ac:dyDescent="0.2">
      <c r="B26" s="39">
        <v>21</v>
      </c>
      <c r="C26" s="27">
        <f>BEGINBLAD!B26</f>
        <v>0</v>
      </c>
      <c r="D26" s="152"/>
      <c r="E26" s="153"/>
      <c r="F26" s="153"/>
      <c r="G26" s="153"/>
      <c r="H26" s="153"/>
      <c r="I26" s="162"/>
      <c r="J26" s="43">
        <f t="shared" si="0"/>
        <v>0</v>
      </c>
      <c r="K26" s="166">
        <f t="shared" si="1"/>
        <v>0</v>
      </c>
      <c r="L26" s="165"/>
      <c r="M26" s="156" t="str">
        <f t="shared" si="2"/>
        <v/>
      </c>
      <c r="N26" s="157" t="str">
        <f t="shared" si="3"/>
        <v/>
      </c>
      <c r="O26" s="19"/>
      <c r="P26" s="20"/>
    </row>
    <row r="27" spans="2:16" ht="19.5" customHeight="1" x14ac:dyDescent="0.2">
      <c r="B27" s="39">
        <v>22</v>
      </c>
      <c r="C27" s="27">
        <f>BEGINBLAD!B27</f>
        <v>0</v>
      </c>
      <c r="D27" s="152"/>
      <c r="E27" s="153"/>
      <c r="F27" s="153"/>
      <c r="G27" s="153"/>
      <c r="H27" s="153"/>
      <c r="I27" s="162"/>
      <c r="J27" s="43">
        <f t="shared" si="0"/>
        <v>0</v>
      </c>
      <c r="K27" s="166">
        <f t="shared" si="1"/>
        <v>0</v>
      </c>
      <c r="L27" s="165"/>
      <c r="M27" s="156" t="str">
        <f t="shared" si="2"/>
        <v/>
      </c>
      <c r="N27" s="157" t="str">
        <f t="shared" si="3"/>
        <v/>
      </c>
      <c r="O27" s="19"/>
      <c r="P27" s="20"/>
    </row>
    <row r="28" spans="2:16" s="10" customFormat="1" ht="19.5" customHeight="1" x14ac:dyDescent="0.2">
      <c r="B28" s="39">
        <v>23</v>
      </c>
      <c r="C28" s="27">
        <f>BEGINBLAD!B28</f>
        <v>0</v>
      </c>
      <c r="D28" s="152"/>
      <c r="E28" s="153"/>
      <c r="F28" s="153"/>
      <c r="G28" s="153"/>
      <c r="H28" s="153"/>
      <c r="I28" s="162"/>
      <c r="J28" s="43">
        <f t="shared" si="0"/>
        <v>0</v>
      </c>
      <c r="K28" s="166">
        <f t="shared" si="1"/>
        <v>0</v>
      </c>
      <c r="L28" s="165"/>
      <c r="M28" s="156" t="str">
        <f t="shared" si="2"/>
        <v/>
      </c>
      <c r="N28" s="157" t="str">
        <f t="shared" si="3"/>
        <v/>
      </c>
      <c r="O28" s="19"/>
      <c r="P28" s="20"/>
    </row>
    <row r="29" spans="2:16" ht="19.5" customHeight="1" x14ac:dyDescent="0.2">
      <c r="B29" s="39">
        <v>24</v>
      </c>
      <c r="C29" s="27">
        <f>BEGINBLAD!B29</f>
        <v>0</v>
      </c>
      <c r="D29" s="152"/>
      <c r="E29" s="153"/>
      <c r="F29" s="153"/>
      <c r="G29" s="153"/>
      <c r="H29" s="153"/>
      <c r="I29" s="162"/>
      <c r="J29" s="43">
        <f t="shared" si="0"/>
        <v>0</v>
      </c>
      <c r="K29" s="166">
        <f t="shared" si="1"/>
        <v>0</v>
      </c>
      <c r="L29" s="165"/>
      <c r="M29" s="156" t="str">
        <f t="shared" si="2"/>
        <v/>
      </c>
      <c r="N29" s="157" t="str">
        <f t="shared" si="3"/>
        <v/>
      </c>
      <c r="O29" s="19"/>
      <c r="P29" s="20"/>
    </row>
    <row r="30" spans="2:16" s="10" customFormat="1" ht="19.5" customHeight="1" x14ac:dyDescent="0.2">
      <c r="B30" s="39">
        <v>25</v>
      </c>
      <c r="C30" s="27">
        <f>BEGINBLAD!B30</f>
        <v>0</v>
      </c>
      <c r="D30" s="152"/>
      <c r="E30" s="153"/>
      <c r="F30" s="153"/>
      <c r="G30" s="153"/>
      <c r="H30" s="153"/>
      <c r="I30" s="162"/>
      <c r="J30" s="43">
        <f t="shared" si="0"/>
        <v>0</v>
      </c>
      <c r="K30" s="166">
        <f t="shared" si="1"/>
        <v>0</v>
      </c>
      <c r="L30" s="165"/>
      <c r="M30" s="156" t="str">
        <f t="shared" si="2"/>
        <v/>
      </c>
      <c r="N30" s="157" t="str">
        <f t="shared" si="3"/>
        <v/>
      </c>
      <c r="O30" s="19"/>
      <c r="P30" s="20"/>
    </row>
    <row r="31" spans="2:16" ht="19.5" customHeight="1" x14ac:dyDescent="0.2">
      <c r="B31" s="39">
        <v>26</v>
      </c>
      <c r="C31" s="27">
        <f>BEGINBLAD!B31</f>
        <v>0</v>
      </c>
      <c r="D31" s="152"/>
      <c r="E31" s="153"/>
      <c r="F31" s="153"/>
      <c r="G31" s="153"/>
      <c r="H31" s="153"/>
      <c r="I31" s="162"/>
      <c r="J31" s="43">
        <f t="shared" si="0"/>
        <v>0</v>
      </c>
      <c r="K31" s="166">
        <f t="shared" si="1"/>
        <v>0</v>
      </c>
      <c r="L31" s="165"/>
      <c r="M31" s="156" t="str">
        <f t="shared" si="2"/>
        <v/>
      </c>
      <c r="N31" s="157" t="str">
        <f t="shared" si="3"/>
        <v/>
      </c>
      <c r="O31" s="19"/>
      <c r="P31" s="20"/>
    </row>
    <row r="32" spans="2:16" s="10" customFormat="1" ht="19.5" customHeight="1" x14ac:dyDescent="0.2">
      <c r="B32" s="39">
        <v>27</v>
      </c>
      <c r="C32" s="27">
        <f>BEGINBLAD!B32</f>
        <v>0</v>
      </c>
      <c r="D32" s="152"/>
      <c r="E32" s="153"/>
      <c r="F32" s="153"/>
      <c r="G32" s="153"/>
      <c r="H32" s="153"/>
      <c r="I32" s="162"/>
      <c r="J32" s="43">
        <f t="shared" si="0"/>
        <v>0</v>
      </c>
      <c r="K32" s="166">
        <f t="shared" si="1"/>
        <v>0</v>
      </c>
      <c r="L32" s="165"/>
      <c r="M32" s="156" t="str">
        <f t="shared" si="2"/>
        <v/>
      </c>
      <c r="N32" s="157" t="str">
        <f t="shared" si="3"/>
        <v/>
      </c>
      <c r="O32" s="19"/>
      <c r="P32" s="20"/>
    </row>
    <row r="33" spans="2:16" ht="19.5" customHeight="1" x14ac:dyDescent="0.2">
      <c r="B33" s="39">
        <v>28</v>
      </c>
      <c r="C33" s="27">
        <f>BEGINBLAD!B33</f>
        <v>0</v>
      </c>
      <c r="D33" s="152"/>
      <c r="E33" s="153"/>
      <c r="F33" s="153"/>
      <c r="G33" s="153"/>
      <c r="H33" s="153"/>
      <c r="I33" s="162"/>
      <c r="J33" s="43">
        <f t="shared" si="0"/>
        <v>0</v>
      </c>
      <c r="K33" s="166">
        <f t="shared" si="1"/>
        <v>0</v>
      </c>
      <c r="L33" s="165"/>
      <c r="M33" s="156" t="str">
        <f t="shared" si="2"/>
        <v/>
      </c>
      <c r="N33" s="157" t="str">
        <f t="shared" si="3"/>
        <v/>
      </c>
      <c r="O33" s="19"/>
      <c r="P33" s="20"/>
    </row>
    <row r="34" spans="2:16" s="10" customFormat="1" ht="19.5" customHeight="1" x14ac:dyDescent="0.2">
      <c r="B34" s="39">
        <v>29</v>
      </c>
      <c r="C34" s="27">
        <f>BEGINBLAD!B34</f>
        <v>0</v>
      </c>
      <c r="D34" s="152"/>
      <c r="E34" s="153"/>
      <c r="F34" s="153"/>
      <c r="G34" s="153"/>
      <c r="H34" s="153"/>
      <c r="I34" s="162"/>
      <c r="J34" s="43">
        <f t="shared" si="0"/>
        <v>0</v>
      </c>
      <c r="K34" s="166">
        <f t="shared" si="1"/>
        <v>0</v>
      </c>
      <c r="L34" s="165"/>
      <c r="M34" s="156" t="str">
        <f t="shared" si="2"/>
        <v/>
      </c>
      <c r="N34" s="157" t="str">
        <f t="shared" si="3"/>
        <v/>
      </c>
      <c r="O34" s="19"/>
      <c r="P34" s="20"/>
    </row>
    <row r="35" spans="2:16" ht="19.5" customHeight="1" x14ac:dyDescent="0.2">
      <c r="B35" s="39">
        <v>30</v>
      </c>
      <c r="C35" s="27">
        <f>BEGINBLAD!B35</f>
        <v>0</v>
      </c>
      <c r="D35" s="152"/>
      <c r="E35" s="153"/>
      <c r="F35" s="153"/>
      <c r="G35" s="153"/>
      <c r="H35" s="153"/>
      <c r="I35" s="162"/>
      <c r="J35" s="43">
        <f t="shared" si="0"/>
        <v>0</v>
      </c>
      <c r="K35" s="166">
        <f t="shared" si="1"/>
        <v>0</v>
      </c>
      <c r="L35" s="165"/>
      <c r="M35" s="156" t="str">
        <f t="shared" si="2"/>
        <v/>
      </c>
      <c r="N35" s="157" t="str">
        <f t="shared" si="3"/>
        <v/>
      </c>
      <c r="O35" s="19"/>
      <c r="P35" s="20"/>
    </row>
    <row r="36" spans="2:16" s="10" customFormat="1" ht="19.5" customHeight="1" x14ac:dyDescent="0.2">
      <c r="B36" s="39">
        <v>31</v>
      </c>
      <c r="C36" s="27">
        <f>BEGINBLAD!B36</f>
        <v>0</v>
      </c>
      <c r="D36" s="152"/>
      <c r="E36" s="153"/>
      <c r="F36" s="153"/>
      <c r="G36" s="153"/>
      <c r="H36" s="153"/>
      <c r="I36" s="162"/>
      <c r="J36" s="43">
        <f t="shared" si="0"/>
        <v>0</v>
      </c>
      <c r="K36" s="166">
        <f t="shared" si="1"/>
        <v>0</v>
      </c>
      <c r="L36" s="165"/>
      <c r="M36" s="156" t="str">
        <f t="shared" si="2"/>
        <v/>
      </c>
      <c r="N36" s="157" t="str">
        <f t="shared" si="3"/>
        <v/>
      </c>
      <c r="O36" s="19"/>
      <c r="P36" s="20"/>
    </row>
    <row r="37" spans="2:16" ht="19.5" customHeight="1" x14ac:dyDescent="0.2">
      <c r="B37" s="39">
        <v>32</v>
      </c>
      <c r="C37" s="27">
        <f>BEGINBLAD!B37</f>
        <v>0</v>
      </c>
      <c r="D37" s="152"/>
      <c r="E37" s="153"/>
      <c r="F37" s="153"/>
      <c r="G37" s="153"/>
      <c r="H37" s="153"/>
      <c r="I37" s="162"/>
      <c r="J37" s="43">
        <f t="shared" si="0"/>
        <v>0</v>
      </c>
      <c r="K37" s="166">
        <f t="shared" si="1"/>
        <v>0</v>
      </c>
      <c r="L37" s="165"/>
      <c r="M37" s="156" t="str">
        <f t="shared" si="2"/>
        <v/>
      </c>
      <c r="N37" s="157" t="str">
        <f t="shared" si="3"/>
        <v/>
      </c>
      <c r="O37" s="19"/>
      <c r="P37" s="20"/>
    </row>
    <row r="38" spans="2:16" s="10" customFormat="1" ht="19.5" customHeight="1" x14ac:dyDescent="0.2">
      <c r="B38" s="39">
        <v>33</v>
      </c>
      <c r="C38" s="27">
        <f>BEGINBLAD!B38</f>
        <v>0</v>
      </c>
      <c r="D38" s="152"/>
      <c r="E38" s="153"/>
      <c r="F38" s="153"/>
      <c r="G38" s="153"/>
      <c r="H38" s="153"/>
      <c r="I38" s="162"/>
      <c r="J38" s="43">
        <f t="shared" si="0"/>
        <v>0</v>
      </c>
      <c r="K38" s="166">
        <f t="shared" si="1"/>
        <v>0</v>
      </c>
      <c r="L38" s="165"/>
      <c r="M38" s="156" t="str">
        <f t="shared" si="2"/>
        <v/>
      </c>
      <c r="N38" s="157" t="str">
        <f t="shared" si="3"/>
        <v/>
      </c>
      <c r="O38" s="19"/>
      <c r="P38" s="20"/>
    </row>
    <row r="39" spans="2:16" ht="19.5" customHeight="1" x14ac:dyDescent="0.2">
      <c r="B39" s="39">
        <v>34</v>
      </c>
      <c r="C39" s="27">
        <f>BEGINBLAD!B39</f>
        <v>0</v>
      </c>
      <c r="D39" s="152"/>
      <c r="E39" s="153"/>
      <c r="F39" s="153"/>
      <c r="G39" s="153"/>
      <c r="H39" s="153"/>
      <c r="I39" s="162"/>
      <c r="J39" s="43">
        <f t="shared" si="0"/>
        <v>0</v>
      </c>
      <c r="K39" s="166">
        <f t="shared" si="1"/>
        <v>0</v>
      </c>
      <c r="L39" s="165"/>
      <c r="M39" s="156" t="str">
        <f t="shared" si="2"/>
        <v/>
      </c>
      <c r="N39" s="157" t="str">
        <f t="shared" si="3"/>
        <v/>
      </c>
      <c r="O39" s="19"/>
      <c r="P39" s="20"/>
    </row>
    <row r="40" spans="2:16" s="10" customFormat="1" ht="19.5" customHeight="1" x14ac:dyDescent="0.2">
      <c r="B40" s="39">
        <v>35</v>
      </c>
      <c r="C40" s="27">
        <f>BEGINBLAD!B40</f>
        <v>0</v>
      </c>
      <c r="D40" s="152"/>
      <c r="E40" s="153"/>
      <c r="F40" s="153"/>
      <c r="G40" s="153"/>
      <c r="H40" s="153"/>
      <c r="I40" s="162"/>
      <c r="J40" s="43">
        <f t="shared" si="0"/>
        <v>0</v>
      </c>
      <c r="K40" s="166">
        <f t="shared" si="1"/>
        <v>0</v>
      </c>
      <c r="L40" s="165"/>
      <c r="M40" s="156" t="str">
        <f t="shared" si="2"/>
        <v/>
      </c>
      <c r="N40" s="157" t="str">
        <f t="shared" si="3"/>
        <v/>
      </c>
      <c r="O40" s="19"/>
      <c r="P40" s="20"/>
    </row>
    <row r="41" spans="2:16" s="10" customFormat="1" ht="19.5" customHeight="1" thickBot="1" x14ac:dyDescent="0.25">
      <c r="B41" s="40">
        <v>36</v>
      </c>
      <c r="C41" s="28">
        <f>BEGINBLAD!B41</f>
        <v>0</v>
      </c>
      <c r="D41" s="154"/>
      <c r="E41" s="155"/>
      <c r="F41" s="155"/>
      <c r="G41" s="155"/>
      <c r="H41" s="155"/>
      <c r="I41" s="163"/>
      <c r="J41" s="44">
        <f t="shared" si="0"/>
        <v>0</v>
      </c>
      <c r="K41" s="167">
        <f t="shared" si="1"/>
        <v>0</v>
      </c>
      <c r="L41" s="165"/>
      <c r="M41" s="158" t="str">
        <f t="shared" si="2"/>
        <v/>
      </c>
      <c r="N41" s="159" t="str">
        <f t="shared" si="3"/>
        <v/>
      </c>
      <c r="O41" s="19"/>
      <c r="P41" s="20"/>
    </row>
    <row r="42" spans="2:16" ht="19.5" customHeight="1" x14ac:dyDescent="0.2">
      <c r="C42" s="168" t="s">
        <v>90</v>
      </c>
      <c r="D42" s="169">
        <f t="shared" ref="D42:K42" si="4">AVERAGE(D6:D41)</f>
        <v>2.6</v>
      </c>
      <c r="E42" s="169">
        <f t="shared" si="4"/>
        <v>1.6333333333333335</v>
      </c>
      <c r="F42" s="169">
        <f t="shared" si="4"/>
        <v>2.5</v>
      </c>
      <c r="G42" s="169">
        <f t="shared" si="4"/>
        <v>1.6</v>
      </c>
      <c r="H42" s="169">
        <f t="shared" si="4"/>
        <v>1.85</v>
      </c>
      <c r="I42" s="169">
        <f t="shared" si="4"/>
        <v>2.4000000000000004</v>
      </c>
      <c r="J42" s="169">
        <f t="shared" si="4"/>
        <v>0.88611111111111107</v>
      </c>
      <c r="K42" s="169">
        <f t="shared" si="4"/>
        <v>0.41666666666666669</v>
      </c>
      <c r="L42" s="170"/>
      <c r="M42" s="169">
        <f>AVERAGE(M6:M41)</f>
        <v>2.2222222222222219</v>
      </c>
    </row>
    <row r="43" spans="2:16" ht="19.5" customHeight="1" x14ac:dyDescent="0.2">
      <c r="C43" s="168" t="s">
        <v>91</v>
      </c>
      <c r="D43" s="171" t="str">
        <f t="shared" ref="D43:M43" si="5">IF(D42="","",IF(D42&gt;=4.5,"A+",IF(D42&gt;=4,"A",IF(D42&gt;=3,"B",IF(D42&gt;2.3,"C",IF(D42&gt;=2,"C-",IF(D42&gt;=1,"D",IF(D42&gt;0,"E"))))))))</f>
        <v>C</v>
      </c>
      <c r="E43" s="171" t="str">
        <f t="shared" si="5"/>
        <v>D</v>
      </c>
      <c r="F43" s="171" t="str">
        <f t="shared" si="5"/>
        <v>C</v>
      </c>
      <c r="G43" s="171" t="str">
        <f t="shared" si="5"/>
        <v>D</v>
      </c>
      <c r="H43" s="171" t="str">
        <f t="shared" si="5"/>
        <v>D</v>
      </c>
      <c r="I43" s="171" t="str">
        <f t="shared" si="5"/>
        <v>C</v>
      </c>
      <c r="J43" s="171" t="str">
        <f t="shared" si="5"/>
        <v>E</v>
      </c>
      <c r="K43" s="171" t="str">
        <f t="shared" si="5"/>
        <v>E</v>
      </c>
      <c r="L43" s="172" t="str">
        <f t="shared" si="5"/>
        <v/>
      </c>
      <c r="M43" s="171" t="str">
        <f t="shared" si="5"/>
        <v>C-</v>
      </c>
    </row>
    <row r="44" spans="2:16" x14ac:dyDescent="0.2">
      <c r="C44" s="11">
        <f>BEGINBLAD!$B$42</f>
        <v>3</v>
      </c>
    </row>
  </sheetData>
  <sheetProtection algorithmName="SHA-512" hashValue="pz3X2qXCE8h12H1o//3iiJa1P10Z0Kk13Fn+73olWoqojWQEnuu6A1awpEQNQKgFR43faBvf8d4hGpAyaQPDwA==" saltValue="cRcoLWv3vSHInsZi1qHaBw==" spinCount="100000" sheet="1"/>
  <mergeCells count="5">
    <mergeCell ref="B2:C2"/>
    <mergeCell ref="E2:F2"/>
    <mergeCell ref="M2:N2"/>
    <mergeCell ref="G2:H2"/>
    <mergeCell ref="I2:L2"/>
  </mergeCells>
  <phoneticPr fontId="3" type="noConversion"/>
  <conditionalFormatting sqref="C6:C41">
    <cfRule type="expression" dxfId="844" priority="1" stopIfTrue="1">
      <formula>$N6=""</formula>
    </cfRule>
    <cfRule type="expression" dxfId="843" priority="2" stopIfTrue="1">
      <formula>$N6="A+"</formula>
    </cfRule>
  </conditionalFormatting>
  <conditionalFormatting sqref="N6:N41 D43:M43">
    <cfRule type="cellIs" dxfId="842" priority="3" stopIfTrue="1" operator="between">
      <formula>"D"</formula>
      <formula>"E"</formula>
    </cfRule>
    <cfRule type="cellIs" dxfId="841" priority="4" stopIfTrue="1" operator="between">
      <formula>"B"</formula>
      <formula>"B+"</formula>
    </cfRule>
    <cfRule type="cellIs" dxfId="840" priority="5" stopIfTrue="1" operator="between">
      <formula>"A"</formula>
      <formula>"A+"</formula>
    </cfRule>
  </conditionalFormatting>
  <conditionalFormatting sqref="D6:I41">
    <cfRule type="cellIs" dxfId="839" priority="6" stopIfTrue="1" operator="between">
      <formula>0.1</formula>
      <formula>1.9</formula>
    </cfRule>
    <cfRule type="cellIs" dxfId="838" priority="7" stopIfTrue="1" operator="between">
      <formula>3</formula>
      <formula>3.9</formula>
    </cfRule>
    <cfRule type="cellIs" dxfId="837" priority="8" stopIfTrue="1" operator="between">
      <formula>4</formula>
      <formula>5</formula>
    </cfRule>
  </conditionalFormatting>
  <conditionalFormatting sqref="M6:M41 D42:M42">
    <cfRule type="cellIs" dxfId="836" priority="9" stopIfTrue="1" operator="between">
      <formula>0.001</formula>
      <formula>1.999</formula>
    </cfRule>
    <cfRule type="cellIs" dxfId="835" priority="10" stopIfTrue="1" operator="between">
      <formula>3</formula>
      <formula>3.999</formula>
    </cfRule>
    <cfRule type="cellIs" dxfId="834" priority="11" stopIfTrue="1" operator="between">
      <formula>4</formula>
      <formula>5</formula>
    </cfRule>
  </conditionalFormatting>
  <dataValidations count="1">
    <dataValidation type="list" allowBlank="1" showInputMessage="1" showErrorMessage="1" sqref="D2">
      <formula1>"--,3,3A,3B,3C,4,4A,4B,4C,5,5A,5B,5C,6,6A,6B,6C,7,7A,7B,7C,8,8A,8B,8C,"</formula1>
    </dataValidation>
  </dataValidations>
  <pageMargins left="0.54" right="0.26" top="0.59" bottom="0.54" header="0.24" footer="0.24"/>
  <pageSetup paperSize="9" scale="85" orientation="portrait" horizontalDpi="4294967293" r:id="rId1"/>
  <headerFooter alignWithMargins="0">
    <oddHeader>&amp;C&amp;"Comic Sans MS,Standaard"&amp;16Leerrendement</oddHeader>
    <oddFooter>&amp;L© Meesterwerk / Harrie Meinen</oddFooter>
  </headerFooter>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1"/>
  </sheetPr>
  <dimension ref="A1:BG72"/>
  <sheetViews>
    <sheetView showGridLines="0" showRowColHeaders="0" topLeftCell="A5" zoomScale="85" zoomScaleNormal="85" workbookViewId="0">
      <selection activeCell="J21" sqref="J21"/>
    </sheetView>
  </sheetViews>
  <sheetFormatPr defaultRowHeight="12.75" x14ac:dyDescent="0.2"/>
  <cols>
    <col min="1" max="1" width="3.7109375" customWidth="1"/>
    <col min="2" max="2" width="20.7109375" customWidth="1"/>
    <col min="3" max="3" width="10" style="1" bestFit="1" customWidth="1"/>
    <col min="4" max="4" width="10" style="1" customWidth="1"/>
    <col min="5" max="5" width="9.5703125" style="1" customWidth="1"/>
    <col min="6" max="9" width="9.5703125" style="1" hidden="1" customWidth="1"/>
    <col min="10" max="10" width="9.5703125" style="1" bestFit="1" customWidth="1"/>
    <col min="11" max="11" width="9.5703125" style="1" customWidth="1"/>
    <col min="12" max="12" width="9.140625" style="54"/>
    <col min="14" max="14" width="10.7109375" style="1" customWidth="1"/>
    <col min="15" max="15" width="10.5703125" style="1" bestFit="1" customWidth="1"/>
    <col min="16" max="17" width="5.85546875" style="1" customWidth="1"/>
    <col min="18" max="18" width="10.5703125" style="1" bestFit="1" customWidth="1"/>
    <col min="19" max="20" width="5.85546875" style="1" customWidth="1"/>
    <col min="21" max="21" width="10.7109375" style="1" bestFit="1" customWidth="1"/>
    <col min="22" max="23" width="5.85546875" style="1" customWidth="1"/>
    <col min="24" max="24" width="10.5703125" style="1" bestFit="1" customWidth="1"/>
    <col min="25" max="26" width="5.85546875" style="1" customWidth="1"/>
    <col min="27" max="27" width="10.5703125" style="1" customWidth="1"/>
    <col min="28" max="29" width="5.85546875" style="1" customWidth="1"/>
    <col min="30" max="45" width="9.140625" style="1" hidden="1" customWidth="1"/>
    <col min="46" max="47" width="9.28515625" style="1" hidden="1" customWidth="1"/>
    <col min="48" max="48" width="9.42578125" style="1" customWidth="1"/>
    <col min="49" max="49" width="9.42578125" bestFit="1" customWidth="1"/>
    <col min="50" max="50" width="9.140625" hidden="1" customWidth="1"/>
    <col min="51" max="51" width="9.42578125" bestFit="1" customWidth="1"/>
    <col min="53" max="53" width="9.140625" style="1" hidden="1" customWidth="1"/>
    <col min="54" max="54" width="10.7109375" style="1" customWidth="1"/>
    <col min="55" max="56" width="9.140625" style="1" hidden="1" customWidth="1"/>
    <col min="57" max="57" width="10.7109375" style="1" customWidth="1"/>
    <col min="58" max="59" width="9.140625" style="1" hidden="1" customWidth="1"/>
    <col min="60" max="60" width="9.5703125" customWidth="1"/>
  </cols>
  <sheetData>
    <row r="1" spans="1:59" ht="20.25" thickBot="1" x14ac:dyDescent="0.45">
      <c r="A1" s="45"/>
      <c r="B1" s="46" t="s">
        <v>7</v>
      </c>
      <c r="C1" s="174"/>
      <c r="D1" s="174"/>
      <c r="E1" s="174"/>
      <c r="F1" s="174"/>
      <c r="G1" s="174"/>
      <c r="H1" s="174"/>
      <c r="I1" s="174"/>
      <c r="J1" s="329">
        <f>'NW - M5'!$D$2</f>
        <v>5</v>
      </c>
      <c r="K1" s="331"/>
      <c r="L1" s="244"/>
      <c r="M1" s="32"/>
      <c r="N1" s="323" t="s">
        <v>23</v>
      </c>
      <c r="O1" s="323"/>
      <c r="P1" s="214"/>
      <c r="Q1" s="214"/>
      <c r="U1" s="5" t="b">
        <f>IF($J$1=3,"ja",IF($J$1="3A","ja",IF($J$1="3B","ja",IF($J$1="3C","ja"))))</f>
        <v>0</v>
      </c>
      <c r="X1" s="5" t="b">
        <f>IF($J$1=4,"ja",IF($J$1="4A","ja",IF($J$1="4B","ja",IF($J$1="4C","ja"))))</f>
        <v>0</v>
      </c>
      <c r="AA1" s="5" t="b">
        <f>IF($J$1=6,"ja",IF($J$1="6A","ja",IF($J$1="6B","ja",IF($J$1="6C","ja"))))</f>
        <v>0</v>
      </c>
      <c r="AB1" s="5"/>
      <c r="AC1" s="5"/>
      <c r="AD1" s="3" t="b">
        <f>IF($J$1=8,"ja",IF($J$1="8A","ja",IF($J$1="8B","ja",IF($J$1="8C","ja"))))</f>
        <v>0</v>
      </c>
      <c r="AE1" s="3"/>
      <c r="AF1" s="3"/>
      <c r="AG1" s="3"/>
      <c r="AH1" s="3"/>
      <c r="AI1" s="3"/>
      <c r="AJ1" s="3"/>
      <c r="AK1" s="3"/>
      <c r="AL1" s="3"/>
      <c r="AM1" s="3"/>
      <c r="AN1" s="3"/>
      <c r="AO1" s="3"/>
      <c r="AP1" s="3"/>
      <c r="AQ1" s="3"/>
      <c r="AR1" s="3"/>
      <c r="AS1" s="3"/>
      <c r="AT1" s="3"/>
      <c r="AU1" s="3"/>
      <c r="AV1" s="3"/>
    </row>
    <row r="2" spans="1:59" ht="20.25" thickBot="1" x14ac:dyDescent="0.45">
      <c r="A2" s="45"/>
      <c r="B2" s="46" t="s">
        <v>29</v>
      </c>
      <c r="C2" s="174"/>
      <c r="D2" s="174"/>
      <c r="E2" s="174"/>
      <c r="F2" s="174"/>
      <c r="G2" s="174"/>
      <c r="H2" s="174"/>
      <c r="I2" s="174"/>
      <c r="J2" s="320"/>
      <c r="K2" s="322"/>
      <c r="L2" s="245"/>
      <c r="M2" s="32"/>
      <c r="N2" s="324" t="s">
        <v>30</v>
      </c>
      <c r="O2" s="324"/>
      <c r="P2" s="215"/>
      <c r="Q2" s="215"/>
      <c r="R2" s="3"/>
      <c r="S2" s="3"/>
      <c r="T2" s="3"/>
      <c r="U2" s="5" t="b">
        <f>IF($J$1=7,"ja",IF($J$1="7A","ja",IF($J$1="7B","ja",IF($J$1="7C","ja"))))</f>
        <v>0</v>
      </c>
      <c r="V2" s="3"/>
      <c r="W2" s="3"/>
      <c r="X2" s="5" t="b">
        <f>IF($J$1=8,"ja",IF($J$1="8A","ja",IF($J$1="8B","ja",IF($J$1="8C","ja"))))</f>
        <v>0</v>
      </c>
      <c r="Y2" s="3"/>
      <c r="Z2" s="3"/>
      <c r="AA2" s="5"/>
      <c r="AB2" s="5"/>
      <c r="AC2" s="5"/>
      <c r="AD2" s="3"/>
      <c r="AE2" s="3"/>
      <c r="AF2" s="3"/>
      <c r="AG2" s="3"/>
      <c r="AH2" s="3"/>
      <c r="AI2" s="3"/>
      <c r="AJ2" s="3"/>
      <c r="AK2" s="3"/>
      <c r="AL2" s="3"/>
      <c r="AM2" s="3"/>
      <c r="AN2" s="3"/>
      <c r="AO2" s="3"/>
      <c r="AP2" s="3"/>
      <c r="AQ2" s="3"/>
      <c r="AR2" s="3"/>
      <c r="AS2" s="3"/>
      <c r="AT2" s="3"/>
      <c r="AU2" s="3"/>
      <c r="AV2" s="3"/>
    </row>
    <row r="3" spans="1:59" ht="21" x14ac:dyDescent="0.4">
      <c r="B3" s="26"/>
      <c r="C3" s="25"/>
      <c r="D3" s="25"/>
      <c r="E3" s="25"/>
      <c r="F3" s="25"/>
      <c r="G3" s="25"/>
      <c r="H3" s="25"/>
      <c r="I3" s="25"/>
      <c r="J3" s="47"/>
      <c r="K3" s="47"/>
      <c r="L3" s="47"/>
      <c r="M3" s="32"/>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row>
    <row r="4" spans="1:59" ht="15.75" x14ac:dyDescent="0.25">
      <c r="B4" s="325"/>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7"/>
    </row>
    <row r="5" spans="1:59" x14ac:dyDescent="0.2">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row>
    <row r="6" spans="1:59" x14ac:dyDescent="0.2">
      <c r="B6" s="212" t="s">
        <v>31</v>
      </c>
      <c r="C6" s="213"/>
      <c r="D6" s="182"/>
      <c r="E6" s="49" t="s">
        <v>32</v>
      </c>
      <c r="F6" s="213"/>
      <c r="G6" s="213"/>
      <c r="H6" s="213"/>
      <c r="I6" s="213"/>
      <c r="J6" s="216"/>
      <c r="K6" s="182"/>
      <c r="R6" s="50"/>
      <c r="S6" s="50"/>
      <c r="T6" s="50"/>
      <c r="U6" s="50"/>
      <c r="V6" s="50"/>
      <c r="W6" s="50"/>
      <c r="X6" s="35"/>
      <c r="Y6" s="50"/>
      <c r="Z6" s="50"/>
      <c r="AA6" s="35"/>
      <c r="AB6" s="35"/>
      <c r="AC6" s="35"/>
    </row>
    <row r="7" spans="1:59" x14ac:dyDescent="0.2">
      <c r="B7" s="212" t="s">
        <v>33</v>
      </c>
      <c r="C7" s="213"/>
      <c r="D7" s="182"/>
      <c r="E7" s="51" t="str">
        <f>IF(E6="ja","nee",IF(E6="nee","ja",IF(E6="","")))</f>
        <v>nee</v>
      </c>
      <c r="F7" s="213"/>
      <c r="G7" s="213"/>
      <c r="H7" s="213"/>
      <c r="I7" s="213"/>
      <c r="J7" s="216"/>
      <c r="K7" s="182"/>
      <c r="R7" s="35"/>
      <c r="S7" s="35"/>
      <c r="T7" s="35"/>
      <c r="U7" s="35"/>
      <c r="V7" s="35"/>
      <c r="W7" s="35"/>
      <c r="X7" s="35"/>
      <c r="Y7" s="35"/>
      <c r="Z7" s="35"/>
      <c r="AA7" s="35"/>
      <c r="AB7" s="35"/>
      <c r="AC7" s="35"/>
    </row>
    <row r="8" spans="1:59" x14ac:dyDescent="0.2">
      <c r="B8" s="52"/>
      <c r="C8" s="175"/>
      <c r="D8" s="175"/>
      <c r="E8" s="175"/>
      <c r="F8" s="175"/>
      <c r="G8" s="175"/>
      <c r="H8" s="175"/>
      <c r="I8" s="175"/>
      <c r="J8" s="53"/>
      <c r="K8" s="53"/>
      <c r="O8" s="35"/>
      <c r="P8" s="35"/>
      <c r="Q8" s="35"/>
      <c r="R8" s="35"/>
      <c r="S8" s="35"/>
      <c r="T8" s="35"/>
      <c r="U8" s="35"/>
      <c r="V8" s="35"/>
      <c r="W8" s="35"/>
      <c r="X8" s="35"/>
      <c r="Y8" s="35"/>
      <c r="Z8" s="35"/>
      <c r="AA8" s="35"/>
      <c r="AB8" s="35"/>
      <c r="AC8" s="35"/>
    </row>
    <row r="9" spans="1:59" x14ac:dyDescent="0.2">
      <c r="B9" s="236" t="s">
        <v>34</v>
      </c>
      <c r="C9" s="242" t="s">
        <v>113</v>
      </c>
      <c r="D9" s="237"/>
      <c r="E9" s="242" t="s">
        <v>113</v>
      </c>
      <c r="F9" s="237"/>
      <c r="G9" s="237"/>
      <c r="H9" s="237"/>
      <c r="I9" s="237"/>
      <c r="J9" s="238"/>
      <c r="K9" s="238"/>
      <c r="L9" s="237"/>
      <c r="M9" s="237"/>
      <c r="N9" s="243" t="s">
        <v>113</v>
      </c>
      <c r="O9" s="344" t="s">
        <v>35</v>
      </c>
      <c r="P9" s="345"/>
      <c r="Q9" s="345"/>
      <c r="R9" s="345"/>
      <c r="S9" s="345"/>
      <c r="T9" s="345"/>
      <c r="U9" s="345"/>
      <c r="V9" s="345"/>
      <c r="W9" s="346"/>
      <c r="X9" s="344" t="s">
        <v>36</v>
      </c>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199"/>
      <c r="AW9" s="328" t="s">
        <v>113</v>
      </c>
      <c r="AX9" s="328"/>
      <c r="AY9" s="328"/>
      <c r="AZ9" s="55"/>
      <c r="BA9" s="55"/>
      <c r="BB9" s="55"/>
      <c r="BC9" s="55"/>
      <c r="BD9" s="55"/>
      <c r="BE9" s="56"/>
    </row>
    <row r="10" spans="1:59" x14ac:dyDescent="0.2">
      <c r="B10" s="57" t="s">
        <v>37</v>
      </c>
      <c r="C10" s="58" t="s">
        <v>88</v>
      </c>
      <c r="D10" s="58" t="s">
        <v>110</v>
      </c>
      <c r="E10" s="58" t="s">
        <v>88</v>
      </c>
      <c r="F10" s="58"/>
      <c r="G10" s="58"/>
      <c r="H10" s="58"/>
      <c r="I10" s="176"/>
      <c r="J10" s="58" t="s">
        <v>96</v>
      </c>
      <c r="K10" s="183" t="s">
        <v>100</v>
      </c>
      <c r="L10" s="179" t="s">
        <v>39</v>
      </c>
      <c r="M10" s="59" t="s">
        <v>40</v>
      </c>
      <c r="N10" s="60" t="s">
        <v>41</v>
      </c>
      <c r="O10" s="61" t="s">
        <v>42</v>
      </c>
      <c r="P10" s="61" t="s">
        <v>99</v>
      </c>
      <c r="Q10" s="61" t="s">
        <v>98</v>
      </c>
      <c r="R10" s="60" t="s">
        <v>43</v>
      </c>
      <c r="S10" s="60" t="s">
        <v>99</v>
      </c>
      <c r="T10" s="60" t="s">
        <v>98</v>
      </c>
      <c r="U10" s="62" t="s">
        <v>44</v>
      </c>
      <c r="V10" s="60" t="s">
        <v>99</v>
      </c>
      <c r="W10" s="60" t="s">
        <v>98</v>
      </c>
      <c r="X10" s="72" t="s">
        <v>45</v>
      </c>
      <c r="Y10" s="72" t="s">
        <v>99</v>
      </c>
      <c r="Z10" s="72" t="s">
        <v>98</v>
      </c>
      <c r="AA10" s="72" t="s">
        <v>46</v>
      </c>
      <c r="AB10" s="60" t="s">
        <v>99</v>
      </c>
      <c r="AC10" s="197" t="s">
        <v>98</v>
      </c>
      <c r="AD10" s="1" t="s">
        <v>8</v>
      </c>
      <c r="AE10" s="1" t="s">
        <v>9</v>
      </c>
      <c r="AF10" s="1" t="s">
        <v>10</v>
      </c>
      <c r="AG10" s="1" t="s">
        <v>11</v>
      </c>
      <c r="AH10" s="1" t="s">
        <v>12</v>
      </c>
      <c r="AI10" s="1" t="s">
        <v>47</v>
      </c>
      <c r="AT10" s="75" t="s">
        <v>5</v>
      </c>
      <c r="AU10" s="144"/>
      <c r="AV10" s="200" t="s">
        <v>48</v>
      </c>
      <c r="AW10" s="63" t="s">
        <v>40</v>
      </c>
      <c r="AX10" s="64" t="s">
        <v>49</v>
      </c>
      <c r="AY10" s="65" t="s">
        <v>39</v>
      </c>
      <c r="AZ10" s="58" t="s">
        <v>50</v>
      </c>
      <c r="BA10" s="66" t="s">
        <v>51</v>
      </c>
      <c r="BB10" s="60" t="s">
        <v>52</v>
      </c>
      <c r="BC10" s="67" t="s">
        <v>51</v>
      </c>
      <c r="BD10" s="67" t="s">
        <v>53</v>
      </c>
      <c r="BE10" s="60" t="s">
        <v>54</v>
      </c>
      <c r="BF10" s="68" t="s">
        <v>51</v>
      </c>
      <c r="BG10" s="68" t="s">
        <v>53</v>
      </c>
    </row>
    <row r="11" spans="1:59" x14ac:dyDescent="0.2">
      <c r="B11" s="69"/>
      <c r="C11" s="70" t="s">
        <v>92</v>
      </c>
      <c r="D11" s="70" t="s">
        <v>111</v>
      </c>
      <c r="E11" s="70" t="s">
        <v>94</v>
      </c>
      <c r="F11" s="70"/>
      <c r="G11" s="70"/>
      <c r="H11" s="70"/>
      <c r="I11" s="177"/>
      <c r="J11" s="70" t="s">
        <v>38</v>
      </c>
      <c r="K11" s="184" t="s">
        <v>55</v>
      </c>
      <c r="L11" s="180" t="s">
        <v>56</v>
      </c>
      <c r="M11" s="71"/>
      <c r="N11" s="72" t="s">
        <v>57</v>
      </c>
      <c r="O11" s="73" t="s">
        <v>20</v>
      </c>
      <c r="P11" s="73"/>
      <c r="Q11" s="73"/>
      <c r="R11" s="72" t="s">
        <v>58</v>
      </c>
      <c r="S11" s="72"/>
      <c r="T11" s="72"/>
      <c r="U11" s="74"/>
      <c r="V11" s="72"/>
      <c r="W11" s="72"/>
      <c r="X11" s="72" t="s">
        <v>21</v>
      </c>
      <c r="Y11" s="72"/>
      <c r="Z11" s="72"/>
      <c r="AA11" s="72" t="s">
        <v>22</v>
      </c>
      <c r="AB11" s="72"/>
      <c r="AC11" s="197"/>
      <c r="AD11" s="1" t="s">
        <v>20</v>
      </c>
      <c r="AE11" s="1" t="s">
        <v>58</v>
      </c>
      <c r="AF11" s="1" t="s">
        <v>10</v>
      </c>
      <c r="AG11" s="1" t="s">
        <v>21</v>
      </c>
      <c r="AH11" s="1" t="s">
        <v>22</v>
      </c>
      <c r="AJ11" s="1" t="s">
        <v>0</v>
      </c>
      <c r="AK11" s="1" t="s">
        <v>1</v>
      </c>
      <c r="AL11" s="1" t="s">
        <v>2</v>
      </c>
      <c r="AM11" s="1" t="s">
        <v>3</v>
      </c>
      <c r="AN11" s="1" t="s">
        <v>4</v>
      </c>
      <c r="AO11" s="1">
        <v>1</v>
      </c>
      <c r="AP11" s="1">
        <v>2</v>
      </c>
      <c r="AQ11" s="1">
        <v>3</v>
      </c>
      <c r="AR11" s="1">
        <v>4</v>
      </c>
      <c r="AS11" s="1">
        <v>5</v>
      </c>
      <c r="AT11" s="75" t="s">
        <v>59</v>
      </c>
      <c r="AU11" s="144"/>
      <c r="AV11" s="201" t="s">
        <v>60</v>
      </c>
      <c r="AW11" s="76"/>
      <c r="AX11" s="77"/>
      <c r="AY11" s="78" t="s">
        <v>56</v>
      </c>
      <c r="AZ11" s="70" t="s">
        <v>61</v>
      </c>
      <c r="BA11" s="79"/>
      <c r="BB11" s="72" t="s">
        <v>57</v>
      </c>
      <c r="BC11" s="80"/>
      <c r="BD11" s="80"/>
      <c r="BE11" s="72" t="s">
        <v>62</v>
      </c>
      <c r="BF11" s="81"/>
      <c r="BG11" s="81"/>
    </row>
    <row r="12" spans="1:59" s="32" customFormat="1" x14ac:dyDescent="0.2">
      <c r="B12" s="82"/>
      <c r="C12" s="83" t="s">
        <v>93</v>
      </c>
      <c r="D12" s="83" t="s">
        <v>25</v>
      </c>
      <c r="E12" s="83" t="s">
        <v>95</v>
      </c>
      <c r="F12" s="83" t="s">
        <v>112</v>
      </c>
      <c r="G12" s="83" t="s">
        <v>25</v>
      </c>
      <c r="H12" s="83" t="s">
        <v>95</v>
      </c>
      <c r="I12" s="178"/>
      <c r="J12" s="132" t="s">
        <v>55</v>
      </c>
      <c r="K12" s="185" t="s">
        <v>97</v>
      </c>
      <c r="L12" s="181"/>
      <c r="M12" s="84"/>
      <c r="N12" s="85"/>
      <c r="O12" s="86" t="s">
        <v>63</v>
      </c>
      <c r="P12" s="86"/>
      <c r="Q12" s="86"/>
      <c r="R12" s="85" t="s">
        <v>63</v>
      </c>
      <c r="S12" s="85"/>
      <c r="T12" s="85"/>
      <c r="U12" s="87" t="s">
        <v>63</v>
      </c>
      <c r="V12" s="85"/>
      <c r="W12" s="85"/>
      <c r="X12" s="85" t="s">
        <v>64</v>
      </c>
      <c r="Y12" s="85"/>
      <c r="Z12" s="85"/>
      <c r="AA12" s="85" t="s">
        <v>64</v>
      </c>
      <c r="AB12" s="85"/>
      <c r="AC12" s="197"/>
      <c r="AD12" s="3"/>
      <c r="AE12" s="3"/>
      <c r="AF12" s="3"/>
      <c r="AG12" s="3"/>
      <c r="AH12" s="3"/>
      <c r="AI12" s="3"/>
      <c r="AJ12" s="3"/>
      <c r="AK12" s="3"/>
      <c r="AL12" s="3"/>
      <c r="AM12" s="3"/>
      <c r="AN12" s="3"/>
      <c r="AO12" s="3"/>
      <c r="AP12" s="3"/>
      <c r="AQ12" s="3"/>
      <c r="AR12" s="3"/>
      <c r="AS12" s="3"/>
      <c r="AT12" s="88"/>
      <c r="AU12" s="145"/>
      <c r="AV12" s="202" t="s">
        <v>65</v>
      </c>
      <c r="AW12" s="89" t="s">
        <v>66</v>
      </c>
      <c r="AX12" s="90"/>
      <c r="AY12" s="91" t="s">
        <v>67</v>
      </c>
      <c r="AZ12" s="83" t="s">
        <v>68</v>
      </c>
      <c r="BA12" s="79"/>
      <c r="BB12" s="85" t="s">
        <v>69</v>
      </c>
      <c r="BC12" s="92"/>
      <c r="BD12" s="92"/>
      <c r="BE12" s="85" t="s">
        <v>70</v>
      </c>
      <c r="BF12" s="93"/>
      <c r="BG12" s="93"/>
    </row>
    <row r="13" spans="1:59" s="94" customFormat="1" hidden="1" x14ac:dyDescent="0.2">
      <c r="B13" s="95" t="s">
        <v>18</v>
      </c>
      <c r="C13" s="96" t="s">
        <v>0</v>
      </c>
      <c r="D13" s="96"/>
      <c r="E13" s="96" t="s">
        <v>0</v>
      </c>
      <c r="F13" s="96"/>
      <c r="G13" s="96"/>
      <c r="H13" s="96"/>
      <c r="I13" s="96"/>
      <c r="J13" s="92" t="s">
        <v>0</v>
      </c>
      <c r="K13" s="92"/>
      <c r="L13" s="97" t="s">
        <v>71</v>
      </c>
      <c r="M13" s="97" t="s">
        <v>3</v>
      </c>
      <c r="N13" s="96" t="s">
        <v>0</v>
      </c>
      <c r="O13" s="96" t="s">
        <v>26</v>
      </c>
      <c r="P13" s="96"/>
      <c r="Q13" s="96"/>
      <c r="R13" s="96" t="s">
        <v>1</v>
      </c>
      <c r="S13" s="96"/>
      <c r="T13" s="96"/>
      <c r="U13" s="97" t="s">
        <v>71</v>
      </c>
      <c r="V13" s="96"/>
      <c r="W13" s="96"/>
      <c r="X13" s="96" t="s">
        <v>17</v>
      </c>
      <c r="Y13" s="96"/>
      <c r="Z13" s="96"/>
      <c r="AA13" s="96" t="s">
        <v>72</v>
      </c>
      <c r="AB13" s="50"/>
      <c r="AC13" s="50"/>
      <c r="AD13" s="98"/>
      <c r="AE13" s="98"/>
      <c r="AF13" s="98"/>
      <c r="AG13" s="98"/>
      <c r="AH13" s="98"/>
      <c r="AI13" s="98"/>
      <c r="AJ13" s="98"/>
      <c r="AK13" s="98"/>
      <c r="AL13" s="98"/>
      <c r="AM13" s="98"/>
      <c r="AN13" s="98"/>
      <c r="AO13" s="98"/>
      <c r="AP13" s="98"/>
      <c r="AQ13" s="98"/>
      <c r="AR13" s="98"/>
      <c r="AS13" s="98"/>
      <c r="AT13" s="99"/>
      <c r="AU13" s="50"/>
      <c r="AV13" s="203" t="s">
        <v>4</v>
      </c>
      <c r="AW13" s="100" t="s">
        <v>3</v>
      </c>
      <c r="AX13" s="101"/>
      <c r="AY13" s="102" t="s">
        <v>71</v>
      </c>
      <c r="AZ13" s="92" t="s">
        <v>71</v>
      </c>
      <c r="BA13" s="50"/>
      <c r="BB13" s="50" t="s">
        <v>73</v>
      </c>
      <c r="BC13" s="50"/>
      <c r="BD13" s="50"/>
      <c r="BE13" s="103" t="s">
        <v>73</v>
      </c>
      <c r="BF13" s="50"/>
      <c r="BG13" s="50"/>
    </row>
    <row r="14" spans="1:59" s="94" customFormat="1" hidden="1" x14ac:dyDescent="0.2">
      <c r="B14" s="95" t="s">
        <v>3</v>
      </c>
      <c r="C14" s="96"/>
      <c r="D14" s="96"/>
      <c r="E14" s="96"/>
      <c r="F14" s="96"/>
      <c r="G14" s="96"/>
      <c r="H14" s="96"/>
      <c r="I14" s="96"/>
      <c r="J14" s="96"/>
      <c r="K14" s="96"/>
      <c r="L14" s="97"/>
      <c r="M14" s="97"/>
      <c r="N14" s="96"/>
      <c r="O14" s="96"/>
      <c r="P14" s="96"/>
      <c r="Q14" s="96"/>
      <c r="R14" s="96"/>
      <c r="S14" s="96"/>
      <c r="T14" s="96"/>
      <c r="U14" s="97"/>
      <c r="V14" s="96"/>
      <c r="W14" s="96"/>
      <c r="X14" s="96"/>
      <c r="Y14" s="96"/>
      <c r="Z14" s="96"/>
      <c r="AA14" s="96"/>
      <c r="AB14" s="50"/>
      <c r="AC14" s="50"/>
      <c r="AD14" s="98"/>
      <c r="AE14" s="98"/>
      <c r="AF14" s="98"/>
      <c r="AG14" s="98"/>
      <c r="AH14" s="98"/>
      <c r="AI14" s="98"/>
      <c r="AJ14" s="98"/>
      <c r="AK14" s="98"/>
      <c r="AL14" s="98"/>
      <c r="AM14" s="98"/>
      <c r="AN14" s="98"/>
      <c r="AO14" s="98"/>
      <c r="AP14" s="98"/>
      <c r="AQ14" s="98"/>
      <c r="AR14" s="98"/>
      <c r="AS14" s="98"/>
      <c r="AT14" s="99"/>
      <c r="AU14" s="50"/>
      <c r="AV14" s="203"/>
      <c r="AW14" s="100"/>
      <c r="AX14" s="101"/>
      <c r="AY14" s="102"/>
      <c r="AZ14" s="92"/>
      <c r="BA14" s="50"/>
      <c r="BB14" s="50"/>
      <c r="BC14" s="50"/>
      <c r="BD14" s="50"/>
      <c r="BE14" s="103"/>
      <c r="BF14" s="50"/>
      <c r="BG14" s="50"/>
    </row>
    <row r="15" spans="1:59" s="94" customFormat="1" hidden="1" x14ac:dyDescent="0.2">
      <c r="B15" s="95" t="s">
        <v>19</v>
      </c>
      <c r="C15" s="96"/>
      <c r="D15" s="96"/>
      <c r="E15" s="96"/>
      <c r="F15" s="96"/>
      <c r="G15" s="96"/>
      <c r="H15" s="96"/>
      <c r="I15" s="96"/>
      <c r="J15" s="96"/>
      <c r="K15" s="96"/>
      <c r="L15" s="97"/>
      <c r="M15" s="97"/>
      <c r="N15" s="96"/>
      <c r="O15" s="96"/>
      <c r="P15" s="96"/>
      <c r="Q15" s="96"/>
      <c r="R15" s="96"/>
      <c r="S15" s="96"/>
      <c r="T15" s="96"/>
      <c r="U15" s="97"/>
      <c r="V15" s="96"/>
      <c r="W15" s="96"/>
      <c r="X15" s="96"/>
      <c r="Y15" s="96"/>
      <c r="Z15" s="96"/>
      <c r="AA15" s="96"/>
      <c r="AB15" s="50"/>
      <c r="AC15" s="50"/>
      <c r="AD15" s="98"/>
      <c r="AE15" s="98"/>
      <c r="AF15" s="98"/>
      <c r="AG15" s="98"/>
      <c r="AH15" s="98"/>
      <c r="AI15" s="98"/>
      <c r="AJ15" s="98"/>
      <c r="AK15" s="98"/>
      <c r="AL15" s="98"/>
      <c r="AM15" s="98"/>
      <c r="AN15" s="98"/>
      <c r="AO15" s="98"/>
      <c r="AP15" s="98"/>
      <c r="AQ15" s="98"/>
      <c r="AR15" s="98"/>
      <c r="AS15" s="98"/>
      <c r="AT15" s="99"/>
      <c r="AU15" s="50"/>
      <c r="AV15" s="203"/>
      <c r="AW15" s="100"/>
      <c r="AX15" s="101"/>
      <c r="AY15" s="102"/>
      <c r="AZ15" s="92"/>
      <c r="BA15" s="50"/>
      <c r="BB15" s="50"/>
      <c r="BC15" s="50"/>
      <c r="BD15" s="50"/>
      <c r="BE15" s="103"/>
      <c r="BF15" s="50"/>
      <c r="BG15" s="50"/>
    </row>
    <row r="16" spans="1:59" s="94" customFormat="1" hidden="1" x14ac:dyDescent="0.2">
      <c r="B16" s="95" t="s">
        <v>74</v>
      </c>
      <c r="C16" s="67"/>
      <c r="D16" s="67"/>
      <c r="E16" s="67"/>
      <c r="F16" s="67"/>
      <c r="G16" s="67"/>
      <c r="H16" s="67"/>
      <c r="I16" s="67"/>
      <c r="J16" s="67"/>
      <c r="K16" s="67"/>
      <c r="L16" s="97"/>
      <c r="M16" s="97"/>
      <c r="N16" s="96"/>
      <c r="O16" s="96"/>
      <c r="P16" s="96"/>
      <c r="Q16" s="96"/>
      <c r="R16" s="96"/>
      <c r="S16" s="96"/>
      <c r="T16" s="96"/>
      <c r="U16" s="97"/>
      <c r="V16" s="96"/>
      <c r="W16" s="96"/>
      <c r="X16" s="96"/>
      <c r="Y16" s="96"/>
      <c r="Z16" s="96"/>
      <c r="AA16" s="96"/>
      <c r="AB16" s="50"/>
      <c r="AC16" s="50"/>
      <c r="AD16" s="98"/>
      <c r="AE16" s="98"/>
      <c r="AF16" s="98"/>
      <c r="AG16" s="98"/>
      <c r="AH16" s="98"/>
      <c r="AI16" s="98"/>
      <c r="AJ16" s="98"/>
      <c r="AK16" s="98"/>
      <c r="AL16" s="98"/>
      <c r="AM16" s="98"/>
      <c r="AN16" s="98"/>
      <c r="AO16" s="98"/>
      <c r="AP16" s="98"/>
      <c r="AQ16" s="98"/>
      <c r="AR16" s="98"/>
      <c r="AS16" s="98"/>
      <c r="AT16" s="99"/>
      <c r="AU16" s="50"/>
      <c r="AV16" s="203"/>
      <c r="AW16" s="100"/>
      <c r="AX16" s="101"/>
      <c r="AY16" s="102"/>
      <c r="AZ16" s="92"/>
      <c r="BA16" s="50"/>
      <c r="BB16" s="50"/>
      <c r="BC16" s="50"/>
      <c r="BD16" s="50"/>
      <c r="BE16" s="103"/>
      <c r="BF16" s="50"/>
      <c r="BG16" s="50"/>
    </row>
    <row r="17" spans="1:59" ht="15" customHeight="1" x14ac:dyDescent="0.2">
      <c r="A17">
        <v>1</v>
      </c>
      <c r="B17" s="186" t="str">
        <f>BEGINBLAD!B6</f>
        <v>leerling 1</v>
      </c>
      <c r="C17" s="110" t="str">
        <f>IF('RIO - E4'!C17="","",IF('RIO - E4'!C17&gt;"",'RIO - E4'!C17))</f>
        <v>C</v>
      </c>
      <c r="D17" s="149" t="str">
        <f>IF('NW - M5'!N6="","",IF('NW - M5'!N6="A+","A",IF('NW - M5'!N6="A","A",IF('NW - M5'!N6="B","B",IF('NW - M5'!N6="C","C",IF('NW - M5'!N6="C-","C",IF('NW - M5'!N6="D","D",IF('NW - M5'!N6="E","E"))))))))</f>
        <v>C</v>
      </c>
      <c r="E17" s="110"/>
      <c r="F17" s="192">
        <f t="shared" ref="F17:F52" si="0">IF(C17="","",IF(C17="A",5,IF(C17="B",4,IF(C17="C",3,IF(C17="D",2,IF(C17="E",1))))))</f>
        <v>3</v>
      </c>
      <c r="G17" s="192">
        <f t="shared" ref="G17:G52" si="1">IF(D17="","",IF(D17="A",5,IF(D17="B",4,IF(D17="C",3,IF(D17="D",2,IF(D17="E",1))))))</f>
        <v>3</v>
      </c>
      <c r="H17" s="191" t="str">
        <f t="shared" ref="H17:H52" si="2">IF(E17="","",IF(E17="A",5,IF(E17="B",4,IF(E17="C",3,IF(E17="D",2,IF(E17="E",1))))))</f>
        <v/>
      </c>
      <c r="I17" s="193">
        <f t="shared" ref="I17:I52" si="3">IF(F17="",H17,IF(H17="",F17,IF(F17&gt;H17,F17,IF(F17&lt;H17,H17,IF(F17=H17,F17)))))</f>
        <v>3</v>
      </c>
      <c r="J17" s="208" t="str">
        <f t="shared" ref="J17:J52" si="4">IF(I17="","",IF(I17=5,"A",IF(I17=4,"B",IF(I17=3,"C",IF(I17=2,"D",IF(I17=1,"E"))))))</f>
        <v>C</v>
      </c>
      <c r="K17" s="210">
        <f t="shared" ref="K17:K52" si="5">IF(I17="","",IF(I17=5,4,IF(I17=4,3.2,IF(I17=3,2.4,IF(I17=2,1.6,IF(I17=1,0.8))))))</f>
        <v>2.4</v>
      </c>
      <c r="L17" s="188"/>
      <c r="M17" s="104"/>
      <c r="N17" s="105"/>
      <c r="O17" s="250" t="str">
        <f t="shared" ref="O17:O52" si="6">IF(P17=0,0,IF(P17&gt;=4,"A",IF(P17&gt;=3,"B",IF(P17&gt;2.3,"C",IF(P17&gt;=1,"D",IF(P17&gt;0,"E"))))))</f>
        <v>A</v>
      </c>
      <c r="P17" s="249">
        <f>IF('NW - M5'!D6=0,0,IF('NW - M5'!D6&gt;=0,'NW - M5'!D6))</f>
        <v>4.4000000000000004</v>
      </c>
      <c r="Q17" s="206">
        <f t="shared" ref="Q17:Q52" si="7">IF(K17="","",IF(P17=0,"",IF(P17&gt;0,P17/K17)))</f>
        <v>1.8333333333333335</v>
      </c>
      <c r="R17" s="250" t="str">
        <f t="shared" ref="R17:R52" si="8">IF(S17=0,0,IF(S17&gt;=4,"A",IF(S17&gt;=3,"B",IF(S17&gt;2.3,"C",IF(S17&gt;=1,"D",IF(S17&gt;0,"E"))))))</f>
        <v>C</v>
      </c>
      <c r="S17" s="249">
        <f>IF('NW - M5'!F6=0,0,IF('NW - M5'!F6&gt;=0,'NW - M5'!F6))</f>
        <v>2.4</v>
      </c>
      <c r="T17" s="206">
        <f t="shared" ref="T17:T52" si="9">IF(K17="","",IF(S17=0,"",IF(S17&gt;0,S17/K17)))</f>
        <v>1</v>
      </c>
      <c r="U17" s="250" t="str">
        <f t="shared" ref="U17:U52" si="10">IF(V17=0,0,IF(V17&gt;=4,"A",IF(V17&gt;=3,"B",IF(V17&gt;2.3,"C",IF(V17&gt;=1,"D",IF(V17&gt;0,"E"))))))</f>
        <v>D</v>
      </c>
      <c r="V17" s="249">
        <f>IF('NW - M5'!E6=0,0,IF('NW - M5'!E6&gt;=0,'NW - M5'!E6))</f>
        <v>1.3</v>
      </c>
      <c r="W17" s="206">
        <f t="shared" ref="W17:W52" si="11">IF(K17="","",IF(V17=0,"",IF(V17&gt;0,V17/K17)))</f>
        <v>0.54166666666666674</v>
      </c>
      <c r="X17" s="250">
        <f t="shared" ref="X17:X52" si="12">IF(Y17=0,0,IF(Y17&gt;=4,"A",IF(Y17&gt;=3,"B",IF(Y17&gt;2.3,"C",IF(Y17&gt;=1,"D",IF(Y17&gt;0,"E"))))))</f>
        <v>0</v>
      </c>
      <c r="Y17" s="249">
        <f>IF('NW - M5'!I6=0,0,IF('NW - M5'!I6&gt;=0,'NW - M5'!I6))</f>
        <v>0</v>
      </c>
      <c r="Z17" s="206" t="str">
        <f t="shared" ref="Z17:Z52" si="13">IF(K17="","",IF(Y17=0,"",IF(Y17&gt;0,Y17/K17)))</f>
        <v/>
      </c>
      <c r="AA17" s="250">
        <f t="shared" ref="AA17:AA52" si="14">IF(AB17=0,0,IF(AB17&gt;=4,"A",IF(AB17&gt;=3,"B",IF(AB17&gt;2.3,"C",IF(AB17&gt;=1,"D",IF(AB17&gt;0,"E"))))))</f>
        <v>0</v>
      </c>
      <c r="AB17" s="249">
        <f>IF('NW - M5'!H6=0,0,IF('NW - M5'!H6&gt;=0,'NW - M5'!H6))</f>
        <v>0</v>
      </c>
      <c r="AC17" s="206" t="str">
        <f t="shared" ref="AC17:AC52" si="15">IF(K17="","",IF(AB17=0,"",IF(AB17&gt;0,AB17/K17)))</f>
        <v/>
      </c>
      <c r="AD17" s="1">
        <f>IF($J17="","",IF(O17=0,"",IF(Q17&lt;0.8,"",IF(Q17&gt;=0.8,1))))</f>
        <v>1</v>
      </c>
      <c r="AE17" s="1">
        <f t="shared" ref="AE17:AE52" si="16">IF($J17="","",IF(R17=0,"",IF(T17&lt;0.8,"",IF(T17&gt;=0.8,1))))</f>
        <v>1</v>
      </c>
      <c r="AF17" s="1" t="str">
        <f t="shared" ref="AF17:AF52" si="17">IF($J17="","",IF(U17=0,"",IF(W17&lt;0.8,"",IF(W17&gt;=0.8,1))))</f>
        <v/>
      </c>
      <c r="AG17" s="1" t="str">
        <f t="shared" ref="AG17:AG52" si="18">IF($J17="","",IF(X17=0,"",IF(Z17&lt;0.8,"",IF(Z17&gt;=0.8,1))))</f>
        <v/>
      </c>
      <c r="AH17" s="1" t="str">
        <f t="shared" ref="AH17:AH52" si="19">IF($J17="","",IF(AA17=0,"",IF(AC17&lt;0.8,"",IF(AC17&gt;=0.8,1))))</f>
        <v/>
      </c>
      <c r="AI17" s="1">
        <f t="shared" ref="AI17:AI52" si="20">SUM(AD17:AH17)</f>
        <v>2</v>
      </c>
      <c r="AJ17" s="106" t="b">
        <f t="shared" ref="AJ17:AJ52" si="21">IF($J17="A",$AV17)</f>
        <v>0</v>
      </c>
      <c r="AK17" s="106" t="b">
        <f t="shared" ref="AK17:AK52" si="22">IF($J17="B",$AV17)</f>
        <v>0</v>
      </c>
      <c r="AL17" s="106">
        <f t="shared" ref="AL17:AL52" si="23">IF($J17="C",$AV17)</f>
        <v>0.4</v>
      </c>
      <c r="AM17" s="106" t="b">
        <f t="shared" ref="AM17:AM52" si="24">IF($J17="D",$AV17)</f>
        <v>0</v>
      </c>
      <c r="AN17" s="106" t="b">
        <f t="shared" ref="AN17:AN52" si="25">IF($J17="E",$AV17)</f>
        <v>0</v>
      </c>
      <c r="AO17" s="106" t="b">
        <f>IF($J17=1,$AV17)</f>
        <v>0</v>
      </c>
      <c r="AP17" s="106" t="b">
        <f t="shared" ref="AP17:AP52" si="26">IF($J17=2,$AV17)</f>
        <v>0</v>
      </c>
      <c r="AQ17" s="106" t="b">
        <f t="shared" ref="AQ17:AQ52" si="27">IF($J17=3,$AV17)</f>
        <v>0</v>
      </c>
      <c r="AR17" s="106" t="b">
        <f t="shared" ref="AR17:AR52" si="28">IF($J17=4,$AV17)</f>
        <v>0</v>
      </c>
      <c r="AS17" s="106" t="b">
        <f t="shared" ref="AS17:AS52" si="29">IF($J17=5,$AV17)</f>
        <v>0</v>
      </c>
      <c r="AT17" s="148">
        <f>IF(J17="","",IF(J17&gt;0,COUNT(O17+R17+U17+X17+AA17)))</f>
        <v>0</v>
      </c>
      <c r="AU17" s="198">
        <f t="shared" ref="AU17:AU52" si="30">5-AT17</f>
        <v>5</v>
      </c>
      <c r="AV17" s="204">
        <f t="shared" ref="AV17:AV52" si="31">IF(AT17="","",IF(AU17=0,"",IF(AU17&gt;0,AI17/AU17)))</f>
        <v>0.4</v>
      </c>
      <c r="AW17" s="107" t="str">
        <f t="shared" ref="AW17:AW52" si="32">IF(M17="","",IF(M17="x",1))</f>
        <v/>
      </c>
      <c r="AX17" s="108"/>
      <c r="AY17" s="109" t="str">
        <f t="shared" ref="AY17:AY52" si="33">IF(L17="","",IF(L17="X",AV17))</f>
        <v/>
      </c>
      <c r="AZ17" s="110"/>
      <c r="BA17" s="111" t="str">
        <f t="shared" ref="BA17:BA52" si="34">IF(N17="","",IF(N17="pro",1,IF(N17="lwoo",2,IF(N17="vmbo-b",3,IF(N17="vmbo-k",4,IF(N17="vmbo-g",5,IF(N17="vmbo-t",6,IF(N17="havo",7))))))))</f>
        <v/>
      </c>
      <c r="BB17" s="112"/>
      <c r="BC17" s="113" t="str">
        <f t="shared" ref="BC17:BC52" si="35">IF(BB17="","",IF(BB17="pro",1,IF(BB17="lwoo",2,IF(BB17="vmbo-b",3,IF(BB17="vmbo-k",4,IF(BB17="vmbo-g",5,IF(BB17="vmbo-t",6,IF(BB17="havo",7))))))))</f>
        <v/>
      </c>
      <c r="BD17" s="114">
        <f t="shared" ref="BD17:BD52" si="36">IF(BC17="",0,IF(BC17&lt;BA17,0,IF(BC17&gt;=BA17,1)))</f>
        <v>0</v>
      </c>
      <c r="BE17" s="115"/>
      <c r="BF17" s="113" t="str">
        <f t="shared" ref="BF17:BF52" si="37">IF(BE17="","",IF(BE17="pro",1,IF(BE17="lwoo",2,IF(BE17="vmbo-b",3,IF(BE17="vmbo-k",4,IF(BE17="vmbo-g",5,IF(BE17="vmbo-t",6,IF(BE17="havo",7))))))))</f>
        <v/>
      </c>
      <c r="BG17" s="116">
        <f t="shared" ref="BG17:BG52" si="38">IF(BF17="",0,IF(BF17&lt;BC17,0,IF(BF17&gt;=BC17,1)))</f>
        <v>0</v>
      </c>
    </row>
    <row r="18" spans="1:59" ht="15" customHeight="1" x14ac:dyDescent="0.2">
      <c r="A18">
        <v>2</v>
      </c>
      <c r="B18" s="186" t="str">
        <f>BEGINBLAD!B7</f>
        <v>leerling 2</v>
      </c>
      <c r="C18" s="110" t="str">
        <f>IF('RIO - E4'!C18="","",IF('RIO - E4'!C18&gt;"",'RIO - E4'!C18))</f>
        <v>C</v>
      </c>
      <c r="D18" s="149" t="str">
        <f>IF('NW - M5'!N7="","",IF('NW - M5'!N7="A+","A",IF('NW - M5'!N7="A","A",IF('NW - M5'!N7="B","B",IF('NW - M5'!N7="C","C",IF('NW - M5'!N7="C-","C",IF('NW - M5'!N7="D","D",IF('NW - M5'!N7="E","E"))))))))</f>
        <v>D</v>
      </c>
      <c r="E18" s="110"/>
      <c r="F18" s="192">
        <f t="shared" si="0"/>
        <v>3</v>
      </c>
      <c r="G18" s="192">
        <f t="shared" si="1"/>
        <v>2</v>
      </c>
      <c r="H18" s="191" t="str">
        <f t="shared" si="2"/>
        <v/>
      </c>
      <c r="I18" s="193">
        <f t="shared" si="3"/>
        <v>3</v>
      </c>
      <c r="J18" s="208" t="str">
        <f t="shared" si="4"/>
        <v>C</v>
      </c>
      <c r="K18" s="210">
        <f t="shared" si="5"/>
        <v>2.4</v>
      </c>
      <c r="L18" s="189"/>
      <c r="M18" s="110"/>
      <c r="N18" s="117"/>
      <c r="O18" s="250" t="str">
        <f t="shared" si="6"/>
        <v>E</v>
      </c>
      <c r="P18" s="249">
        <f>IF('NW - M5'!D7=0,0,IF('NW - M5'!D7&gt;=0,'NW - M5'!D7))</f>
        <v>0.9</v>
      </c>
      <c r="Q18" s="206">
        <f t="shared" si="7"/>
        <v>0.375</v>
      </c>
      <c r="R18" s="250" t="str">
        <f t="shared" si="8"/>
        <v>D</v>
      </c>
      <c r="S18" s="249">
        <f>IF('NW - M5'!F7=0,0,IF('NW - M5'!F7&gt;=0,'NW - M5'!F7))</f>
        <v>1.9</v>
      </c>
      <c r="T18" s="206">
        <f t="shared" si="9"/>
        <v>0.79166666666666663</v>
      </c>
      <c r="U18" s="250" t="str">
        <f t="shared" si="10"/>
        <v>E</v>
      </c>
      <c r="V18" s="249">
        <f>IF('NW - M5'!E7=0,0,IF('NW - M5'!E7&gt;=0,'NW - M5'!E7))</f>
        <v>0.6</v>
      </c>
      <c r="W18" s="206">
        <f t="shared" si="11"/>
        <v>0.25</v>
      </c>
      <c r="X18" s="250" t="str">
        <f t="shared" si="12"/>
        <v>D</v>
      </c>
      <c r="Y18" s="249">
        <f>IF('NW - M5'!I7=0,0,IF('NW - M5'!I7&gt;=0,'NW - M5'!I7))</f>
        <v>2.2000000000000002</v>
      </c>
      <c r="Z18" s="206">
        <f t="shared" si="13"/>
        <v>0.91666666666666674</v>
      </c>
      <c r="AA18" s="250" t="str">
        <f t="shared" si="14"/>
        <v>C</v>
      </c>
      <c r="AB18" s="249">
        <f>IF('NW - M5'!H7=0,0,IF('NW - M5'!H7&gt;=0,'NW - M5'!H7))</f>
        <v>2.7</v>
      </c>
      <c r="AC18" s="206">
        <f t="shared" si="15"/>
        <v>1.1250000000000002</v>
      </c>
      <c r="AD18" s="1" t="str">
        <f t="shared" ref="AD18:AD52" si="39">IF(J18="","",IF(O18=0,"",IF(Q18&lt;0.8,"",IF(Q18&gt;=0.8,1))))</f>
        <v/>
      </c>
      <c r="AE18" s="1" t="str">
        <f t="shared" si="16"/>
        <v/>
      </c>
      <c r="AF18" s="1" t="str">
        <f t="shared" si="17"/>
        <v/>
      </c>
      <c r="AG18" s="1">
        <f t="shared" si="18"/>
        <v>1</v>
      </c>
      <c r="AH18" s="1">
        <f t="shared" si="19"/>
        <v>1</v>
      </c>
      <c r="AI18" s="1">
        <f t="shared" si="20"/>
        <v>2</v>
      </c>
      <c r="AJ18" s="106" t="b">
        <f t="shared" si="21"/>
        <v>0</v>
      </c>
      <c r="AK18" s="106" t="b">
        <f t="shared" si="22"/>
        <v>0</v>
      </c>
      <c r="AL18" s="106">
        <f t="shared" si="23"/>
        <v>0.4</v>
      </c>
      <c r="AM18" s="106" t="b">
        <f t="shared" si="24"/>
        <v>0</v>
      </c>
      <c r="AN18" s="106" t="b">
        <f t="shared" si="25"/>
        <v>0</v>
      </c>
      <c r="AO18" s="106" t="b">
        <f t="shared" ref="AO18:AO52" si="40">IF($J18="1",$AV18)</f>
        <v>0</v>
      </c>
      <c r="AP18" s="106" t="b">
        <f t="shared" si="26"/>
        <v>0</v>
      </c>
      <c r="AQ18" s="106" t="b">
        <f t="shared" si="27"/>
        <v>0</v>
      </c>
      <c r="AR18" s="106" t="b">
        <f t="shared" si="28"/>
        <v>0</v>
      </c>
      <c r="AS18" s="106" t="b">
        <f t="shared" si="29"/>
        <v>0</v>
      </c>
      <c r="AT18" s="148">
        <f t="shared" ref="AT18:AT52" si="41">IF(J18="","",IF(J18&gt;0,COUNT(O18+R18+U18+X18+AA18)))</f>
        <v>0</v>
      </c>
      <c r="AU18" s="198">
        <f t="shared" si="30"/>
        <v>5</v>
      </c>
      <c r="AV18" s="204">
        <f t="shared" si="31"/>
        <v>0.4</v>
      </c>
      <c r="AW18" s="107" t="str">
        <f t="shared" si="32"/>
        <v/>
      </c>
      <c r="AX18" s="108"/>
      <c r="AY18" s="109" t="str">
        <f t="shared" si="33"/>
        <v/>
      </c>
      <c r="AZ18" s="110"/>
      <c r="BA18" s="111" t="str">
        <f t="shared" si="34"/>
        <v/>
      </c>
      <c r="BB18" s="112"/>
      <c r="BC18" s="113" t="str">
        <f t="shared" si="35"/>
        <v/>
      </c>
      <c r="BD18" s="114">
        <f t="shared" si="36"/>
        <v>0</v>
      </c>
      <c r="BE18" s="118"/>
      <c r="BF18" s="113" t="str">
        <f t="shared" si="37"/>
        <v/>
      </c>
      <c r="BG18" s="116">
        <f t="shared" si="38"/>
        <v>0</v>
      </c>
    </row>
    <row r="19" spans="1:59" ht="15" customHeight="1" x14ac:dyDescent="0.2">
      <c r="A19">
        <v>3</v>
      </c>
      <c r="B19" s="186" t="str">
        <f>BEGINBLAD!B8</f>
        <v>leerling 3</v>
      </c>
      <c r="C19" s="110" t="s">
        <v>2</v>
      </c>
      <c r="D19" s="149" t="str">
        <f>IF('NW - M5'!N8="","",IF('NW - M5'!N8="A+","A",IF('NW - M5'!N8="A","A",IF('NW - M5'!N8="B","B",IF('NW - M5'!N8="C","C",IF('NW - M5'!N8="C-","C",IF('NW - M5'!N8="D","D",IF('NW - M5'!N8="E","E"))))))))</f>
        <v>C</v>
      </c>
      <c r="E19" s="110"/>
      <c r="F19" s="192">
        <f t="shared" si="0"/>
        <v>3</v>
      </c>
      <c r="G19" s="192">
        <f t="shared" si="1"/>
        <v>3</v>
      </c>
      <c r="H19" s="191" t="str">
        <f t="shared" si="2"/>
        <v/>
      </c>
      <c r="I19" s="193">
        <f t="shared" si="3"/>
        <v>3</v>
      </c>
      <c r="J19" s="208" t="str">
        <f t="shared" si="4"/>
        <v>C</v>
      </c>
      <c r="K19" s="210">
        <f t="shared" si="5"/>
        <v>2.4</v>
      </c>
      <c r="L19" s="189"/>
      <c r="M19" s="110"/>
      <c r="N19" s="117"/>
      <c r="O19" s="250" t="str">
        <f t="shared" si="6"/>
        <v>C</v>
      </c>
      <c r="P19" s="249">
        <f>IF('NW - M5'!D8=0,0,IF('NW - M5'!D8&gt;=0,'NW - M5'!D8))</f>
        <v>2.5</v>
      </c>
      <c r="Q19" s="206">
        <f t="shared" si="7"/>
        <v>1.0416666666666667</v>
      </c>
      <c r="R19" s="250" t="str">
        <f t="shared" si="8"/>
        <v>B</v>
      </c>
      <c r="S19" s="249">
        <f>IF('NW - M5'!F8=0,0,IF('NW - M5'!F8&gt;=0,'NW - M5'!F8))</f>
        <v>3.2</v>
      </c>
      <c r="T19" s="206">
        <f t="shared" si="9"/>
        <v>1.3333333333333335</v>
      </c>
      <c r="U19" s="250" t="str">
        <f t="shared" si="10"/>
        <v>B</v>
      </c>
      <c r="V19" s="249">
        <f>IF('NW - M5'!E8=0,0,IF('NW - M5'!E8&gt;=0,'NW - M5'!E8))</f>
        <v>3</v>
      </c>
      <c r="W19" s="206">
        <f t="shared" si="11"/>
        <v>1.25</v>
      </c>
      <c r="X19" s="250" t="str">
        <f t="shared" si="12"/>
        <v>C</v>
      </c>
      <c r="Y19" s="249">
        <f>IF('NW - M5'!I8=0,0,IF('NW - M5'!I8&gt;=0,'NW - M5'!I8))</f>
        <v>2.6</v>
      </c>
      <c r="Z19" s="206">
        <f t="shared" si="13"/>
        <v>1.0833333333333335</v>
      </c>
      <c r="AA19" s="250" t="str">
        <f t="shared" si="14"/>
        <v>D</v>
      </c>
      <c r="AB19" s="249">
        <f>IF('NW - M5'!H8=0,0,IF('NW - M5'!H8&gt;=0,'NW - M5'!H8))</f>
        <v>1</v>
      </c>
      <c r="AC19" s="206">
        <f t="shared" si="15"/>
        <v>0.41666666666666669</v>
      </c>
      <c r="AD19" s="1">
        <f t="shared" si="39"/>
        <v>1</v>
      </c>
      <c r="AE19" s="1">
        <f t="shared" si="16"/>
        <v>1</v>
      </c>
      <c r="AF19" s="1">
        <f t="shared" si="17"/>
        <v>1</v>
      </c>
      <c r="AG19" s="1">
        <f t="shared" si="18"/>
        <v>1</v>
      </c>
      <c r="AH19" s="1" t="str">
        <f t="shared" si="19"/>
        <v/>
      </c>
      <c r="AI19" s="1">
        <f t="shared" si="20"/>
        <v>4</v>
      </c>
      <c r="AJ19" s="106" t="b">
        <f t="shared" si="21"/>
        <v>0</v>
      </c>
      <c r="AK19" s="106" t="b">
        <f t="shared" si="22"/>
        <v>0</v>
      </c>
      <c r="AL19" s="106">
        <f t="shared" si="23"/>
        <v>0.8</v>
      </c>
      <c r="AM19" s="106" t="b">
        <f t="shared" si="24"/>
        <v>0</v>
      </c>
      <c r="AN19" s="106" t="b">
        <f t="shared" si="25"/>
        <v>0</v>
      </c>
      <c r="AO19" s="106" t="b">
        <f t="shared" si="40"/>
        <v>0</v>
      </c>
      <c r="AP19" s="106" t="b">
        <f t="shared" si="26"/>
        <v>0</v>
      </c>
      <c r="AQ19" s="106" t="b">
        <f t="shared" si="27"/>
        <v>0</v>
      </c>
      <c r="AR19" s="106" t="b">
        <f t="shared" si="28"/>
        <v>0</v>
      </c>
      <c r="AS19" s="106" t="b">
        <f t="shared" si="29"/>
        <v>0</v>
      </c>
      <c r="AT19" s="148">
        <f t="shared" si="41"/>
        <v>0</v>
      </c>
      <c r="AU19" s="198">
        <f t="shared" si="30"/>
        <v>5</v>
      </c>
      <c r="AV19" s="204">
        <f t="shared" si="31"/>
        <v>0.8</v>
      </c>
      <c r="AW19" s="107" t="str">
        <f t="shared" si="32"/>
        <v/>
      </c>
      <c r="AX19" s="108"/>
      <c r="AY19" s="109" t="str">
        <f t="shared" si="33"/>
        <v/>
      </c>
      <c r="AZ19" s="110"/>
      <c r="BA19" s="111" t="str">
        <f t="shared" si="34"/>
        <v/>
      </c>
      <c r="BB19" s="112"/>
      <c r="BC19" s="113" t="str">
        <f t="shared" si="35"/>
        <v/>
      </c>
      <c r="BD19" s="114">
        <f t="shared" si="36"/>
        <v>0</v>
      </c>
      <c r="BE19" s="118"/>
      <c r="BF19" s="113" t="str">
        <f t="shared" si="37"/>
        <v/>
      </c>
      <c r="BG19" s="116">
        <f t="shared" si="38"/>
        <v>0</v>
      </c>
    </row>
    <row r="20" spans="1:59" ht="15" customHeight="1" x14ac:dyDescent="0.2">
      <c r="A20">
        <v>4</v>
      </c>
      <c r="B20" s="186">
        <f>BEGINBLAD!B9</f>
        <v>0</v>
      </c>
      <c r="C20" s="110" t="str">
        <f>IF('RIO - E4'!C20="","",IF('RIO - E4'!C20&gt;"",'RIO - E4'!C20))</f>
        <v/>
      </c>
      <c r="D20" s="149" t="str">
        <f>IF('NW - M5'!N9="","",IF('NW - M5'!N9="A+","A",IF('NW - M5'!N9="A","A",IF('NW - M5'!N9="B","B",IF('NW - M5'!N9="C","C",IF('NW - M5'!N9="C-","C",IF('NW - M5'!N9="D","D",IF('NW - M5'!N9="E","E"))))))))</f>
        <v/>
      </c>
      <c r="E20" s="110"/>
      <c r="F20" s="192" t="str">
        <f t="shared" si="0"/>
        <v/>
      </c>
      <c r="G20" s="192" t="str">
        <f t="shared" si="1"/>
        <v/>
      </c>
      <c r="H20" s="191" t="str">
        <f t="shared" si="2"/>
        <v/>
      </c>
      <c r="I20" s="193" t="str">
        <f t="shared" si="3"/>
        <v/>
      </c>
      <c r="J20" s="208" t="str">
        <f t="shared" si="4"/>
        <v/>
      </c>
      <c r="K20" s="210" t="str">
        <f t="shared" si="5"/>
        <v/>
      </c>
      <c r="L20" s="189"/>
      <c r="M20" s="110"/>
      <c r="N20" s="117"/>
      <c r="O20" s="250">
        <f t="shared" si="6"/>
        <v>0</v>
      </c>
      <c r="P20" s="249">
        <f>IF('NW - M5'!D9=0,0,IF('NW - M5'!D9&gt;=0,'NW - M5'!D9))</f>
        <v>0</v>
      </c>
      <c r="Q20" s="206" t="str">
        <f t="shared" si="7"/>
        <v/>
      </c>
      <c r="R20" s="250">
        <f t="shared" si="8"/>
        <v>0</v>
      </c>
      <c r="S20" s="249">
        <f>IF('NW - M5'!F9=0,0,IF('NW - M5'!F9&gt;=0,'NW - M5'!F9))</f>
        <v>0</v>
      </c>
      <c r="T20" s="206" t="str">
        <f t="shared" si="9"/>
        <v/>
      </c>
      <c r="U20" s="250">
        <f t="shared" si="10"/>
        <v>0</v>
      </c>
      <c r="V20" s="249">
        <f>IF('NW - M5'!E9=0,0,IF('NW - M5'!E9&gt;=0,'NW - M5'!E9))</f>
        <v>0</v>
      </c>
      <c r="W20" s="206" t="str">
        <f t="shared" si="11"/>
        <v/>
      </c>
      <c r="X20" s="250">
        <f t="shared" si="12"/>
        <v>0</v>
      </c>
      <c r="Y20" s="249">
        <f>IF('NW - M5'!I9=0,0,IF('NW - M5'!I9&gt;=0,'NW - M5'!I9))</f>
        <v>0</v>
      </c>
      <c r="Z20" s="206" t="str">
        <f t="shared" si="13"/>
        <v/>
      </c>
      <c r="AA20" s="250">
        <f t="shared" si="14"/>
        <v>0</v>
      </c>
      <c r="AB20" s="249">
        <f>IF('NW - M5'!H9=0,0,IF('NW - M5'!H9&gt;=0,'NW - M5'!H9))</f>
        <v>0</v>
      </c>
      <c r="AC20" s="206" t="str">
        <f t="shared" si="15"/>
        <v/>
      </c>
      <c r="AD20" s="1" t="str">
        <f t="shared" si="39"/>
        <v/>
      </c>
      <c r="AE20" s="1" t="str">
        <f t="shared" si="16"/>
        <v/>
      </c>
      <c r="AF20" s="1" t="str">
        <f t="shared" si="17"/>
        <v/>
      </c>
      <c r="AG20" s="1" t="str">
        <f t="shared" si="18"/>
        <v/>
      </c>
      <c r="AH20" s="1" t="str">
        <f t="shared" si="19"/>
        <v/>
      </c>
      <c r="AI20" s="1">
        <f t="shared" si="20"/>
        <v>0</v>
      </c>
      <c r="AJ20" s="106" t="b">
        <f t="shared" si="21"/>
        <v>0</v>
      </c>
      <c r="AK20" s="106" t="b">
        <f t="shared" si="22"/>
        <v>0</v>
      </c>
      <c r="AL20" s="106" t="b">
        <f t="shared" si="23"/>
        <v>0</v>
      </c>
      <c r="AM20" s="106" t="b">
        <f t="shared" si="24"/>
        <v>0</v>
      </c>
      <c r="AN20" s="106" t="b">
        <f t="shared" si="25"/>
        <v>0</v>
      </c>
      <c r="AO20" s="106" t="b">
        <f t="shared" si="40"/>
        <v>0</v>
      </c>
      <c r="AP20" s="106" t="b">
        <f t="shared" si="26"/>
        <v>0</v>
      </c>
      <c r="AQ20" s="106" t="b">
        <f t="shared" si="27"/>
        <v>0</v>
      </c>
      <c r="AR20" s="106" t="b">
        <f t="shared" si="28"/>
        <v>0</v>
      </c>
      <c r="AS20" s="106" t="b">
        <f t="shared" si="29"/>
        <v>0</v>
      </c>
      <c r="AT20" s="148" t="str">
        <f t="shared" si="41"/>
        <v/>
      </c>
      <c r="AU20" s="198" t="e">
        <f t="shared" si="30"/>
        <v>#VALUE!</v>
      </c>
      <c r="AV20" s="204" t="str">
        <f t="shared" si="31"/>
        <v/>
      </c>
      <c r="AW20" s="107" t="str">
        <f t="shared" si="32"/>
        <v/>
      </c>
      <c r="AX20" s="108"/>
      <c r="AY20" s="109" t="str">
        <f t="shared" si="33"/>
        <v/>
      </c>
      <c r="AZ20" s="110"/>
      <c r="BA20" s="111" t="str">
        <f t="shared" si="34"/>
        <v/>
      </c>
      <c r="BB20" s="112"/>
      <c r="BC20" s="113" t="str">
        <f t="shared" si="35"/>
        <v/>
      </c>
      <c r="BD20" s="114">
        <f t="shared" si="36"/>
        <v>0</v>
      </c>
      <c r="BE20" s="118"/>
      <c r="BF20" s="113" t="str">
        <f t="shared" si="37"/>
        <v/>
      </c>
      <c r="BG20" s="116">
        <f t="shared" si="38"/>
        <v>0</v>
      </c>
    </row>
    <row r="21" spans="1:59" ht="15" customHeight="1" x14ac:dyDescent="0.2">
      <c r="A21">
        <v>5</v>
      </c>
      <c r="B21" s="186">
        <f>BEGINBLAD!B10</f>
        <v>0</v>
      </c>
      <c r="C21" s="110" t="str">
        <f>IF('RIO - E4'!C21="","",IF('RIO - E4'!C21&gt;"",'RIO - E4'!C21))</f>
        <v/>
      </c>
      <c r="D21" s="149" t="str">
        <f>IF('NW - M5'!N10="","",IF('NW - M5'!N10="A+","A",IF('NW - M5'!N10="A","A",IF('NW - M5'!N10="B","B",IF('NW - M5'!N10="C","C",IF('NW - M5'!N10="C-","C",IF('NW - M5'!N10="D","D",IF('NW - M5'!N10="E","E"))))))))</f>
        <v/>
      </c>
      <c r="E21" s="110"/>
      <c r="F21" s="192" t="str">
        <f t="shared" si="0"/>
        <v/>
      </c>
      <c r="G21" s="192" t="str">
        <f t="shared" si="1"/>
        <v/>
      </c>
      <c r="H21" s="191" t="str">
        <f t="shared" si="2"/>
        <v/>
      </c>
      <c r="I21" s="193" t="str">
        <f t="shared" si="3"/>
        <v/>
      </c>
      <c r="J21" s="208" t="str">
        <f t="shared" si="4"/>
        <v/>
      </c>
      <c r="K21" s="210" t="str">
        <f t="shared" si="5"/>
        <v/>
      </c>
      <c r="L21" s="189"/>
      <c r="M21" s="110"/>
      <c r="N21" s="117"/>
      <c r="O21" s="250">
        <f t="shared" si="6"/>
        <v>0</v>
      </c>
      <c r="P21" s="249">
        <f>IF('NW - M5'!D10=0,0,IF('NW - M5'!D10&gt;=0,'NW - M5'!D10))</f>
        <v>0</v>
      </c>
      <c r="Q21" s="206" t="str">
        <f t="shared" si="7"/>
        <v/>
      </c>
      <c r="R21" s="250">
        <f t="shared" si="8"/>
        <v>0</v>
      </c>
      <c r="S21" s="249">
        <f>IF('NW - M5'!F10=0,0,IF('NW - M5'!F10&gt;=0,'NW - M5'!F10))</f>
        <v>0</v>
      </c>
      <c r="T21" s="206" t="str">
        <f t="shared" si="9"/>
        <v/>
      </c>
      <c r="U21" s="250">
        <f t="shared" si="10"/>
        <v>0</v>
      </c>
      <c r="V21" s="249">
        <f>IF('NW - M5'!E10=0,0,IF('NW - M5'!E10&gt;=0,'NW - M5'!E10))</f>
        <v>0</v>
      </c>
      <c r="W21" s="206" t="str">
        <f t="shared" si="11"/>
        <v/>
      </c>
      <c r="X21" s="250">
        <f t="shared" si="12"/>
        <v>0</v>
      </c>
      <c r="Y21" s="249">
        <f>IF('NW - M5'!I10=0,0,IF('NW - M5'!I10&gt;=0,'NW - M5'!I10))</f>
        <v>0</v>
      </c>
      <c r="Z21" s="206" t="str">
        <f t="shared" si="13"/>
        <v/>
      </c>
      <c r="AA21" s="250">
        <f t="shared" si="14"/>
        <v>0</v>
      </c>
      <c r="AB21" s="249">
        <f>IF('NW - M5'!H10=0,0,IF('NW - M5'!H10&gt;=0,'NW - M5'!H10))</f>
        <v>0</v>
      </c>
      <c r="AC21" s="206" t="str">
        <f t="shared" si="15"/>
        <v/>
      </c>
      <c r="AD21" s="1" t="str">
        <f t="shared" si="39"/>
        <v/>
      </c>
      <c r="AE21" s="1" t="str">
        <f t="shared" si="16"/>
        <v/>
      </c>
      <c r="AF21" s="1" t="str">
        <f t="shared" si="17"/>
        <v/>
      </c>
      <c r="AG21" s="1" t="str">
        <f t="shared" si="18"/>
        <v/>
      </c>
      <c r="AH21" s="1" t="str">
        <f t="shared" si="19"/>
        <v/>
      </c>
      <c r="AI21" s="1">
        <f t="shared" si="20"/>
        <v>0</v>
      </c>
      <c r="AJ21" s="106" t="b">
        <f t="shared" si="21"/>
        <v>0</v>
      </c>
      <c r="AK21" s="106" t="b">
        <f t="shared" si="22"/>
        <v>0</v>
      </c>
      <c r="AL21" s="106" t="b">
        <f t="shared" si="23"/>
        <v>0</v>
      </c>
      <c r="AM21" s="106" t="b">
        <f t="shared" si="24"/>
        <v>0</v>
      </c>
      <c r="AN21" s="106" t="b">
        <f t="shared" si="25"/>
        <v>0</v>
      </c>
      <c r="AO21" s="106" t="b">
        <f t="shared" si="40"/>
        <v>0</v>
      </c>
      <c r="AP21" s="106" t="b">
        <f t="shared" si="26"/>
        <v>0</v>
      </c>
      <c r="AQ21" s="106" t="b">
        <f t="shared" si="27"/>
        <v>0</v>
      </c>
      <c r="AR21" s="106" t="b">
        <f t="shared" si="28"/>
        <v>0</v>
      </c>
      <c r="AS21" s="106" t="b">
        <f t="shared" si="29"/>
        <v>0</v>
      </c>
      <c r="AT21" s="148" t="str">
        <f t="shared" si="41"/>
        <v/>
      </c>
      <c r="AU21" s="198" t="e">
        <f t="shared" si="30"/>
        <v>#VALUE!</v>
      </c>
      <c r="AV21" s="204" t="str">
        <f t="shared" si="31"/>
        <v/>
      </c>
      <c r="AW21" s="107" t="str">
        <f t="shared" si="32"/>
        <v/>
      </c>
      <c r="AX21" s="108"/>
      <c r="AY21" s="109" t="str">
        <f t="shared" si="33"/>
        <v/>
      </c>
      <c r="AZ21" s="110"/>
      <c r="BA21" s="111" t="str">
        <f t="shared" si="34"/>
        <v/>
      </c>
      <c r="BB21" s="112"/>
      <c r="BC21" s="113" t="str">
        <f t="shared" si="35"/>
        <v/>
      </c>
      <c r="BD21" s="114">
        <f t="shared" si="36"/>
        <v>0</v>
      </c>
      <c r="BE21" s="118"/>
      <c r="BF21" s="113" t="str">
        <f t="shared" si="37"/>
        <v/>
      </c>
      <c r="BG21" s="116">
        <f t="shared" si="38"/>
        <v>0</v>
      </c>
    </row>
    <row r="22" spans="1:59" ht="15" customHeight="1" x14ac:dyDescent="0.2">
      <c r="A22">
        <v>6</v>
      </c>
      <c r="B22" s="186">
        <f>BEGINBLAD!B11</f>
        <v>0</v>
      </c>
      <c r="C22" s="110" t="str">
        <f>IF('RIO - E4'!C22="","",IF('RIO - E4'!C22&gt;"",'RIO - E4'!C22))</f>
        <v/>
      </c>
      <c r="D22" s="149" t="str">
        <f>IF('NW - M5'!N11="","",IF('NW - M5'!N11="A+","A",IF('NW - M5'!N11="A","A",IF('NW - M5'!N11="B","B",IF('NW - M5'!N11="C","C",IF('NW - M5'!N11="C-","C",IF('NW - M5'!N11="D","D",IF('NW - M5'!N11="E","E"))))))))</f>
        <v/>
      </c>
      <c r="E22" s="110"/>
      <c r="F22" s="192" t="str">
        <f t="shared" si="0"/>
        <v/>
      </c>
      <c r="G22" s="192" t="str">
        <f t="shared" si="1"/>
        <v/>
      </c>
      <c r="H22" s="191" t="str">
        <f t="shared" si="2"/>
        <v/>
      </c>
      <c r="I22" s="193" t="str">
        <f t="shared" si="3"/>
        <v/>
      </c>
      <c r="J22" s="208" t="str">
        <f t="shared" si="4"/>
        <v/>
      </c>
      <c r="K22" s="210" t="str">
        <f t="shared" si="5"/>
        <v/>
      </c>
      <c r="L22" s="189"/>
      <c r="M22" s="110"/>
      <c r="N22" s="117"/>
      <c r="O22" s="250">
        <f t="shared" si="6"/>
        <v>0</v>
      </c>
      <c r="P22" s="249">
        <f>IF('NW - M5'!D11=0,0,IF('NW - M5'!D11&gt;=0,'NW - M5'!D11))</f>
        <v>0</v>
      </c>
      <c r="Q22" s="206" t="str">
        <f t="shared" si="7"/>
        <v/>
      </c>
      <c r="R22" s="250">
        <f t="shared" si="8"/>
        <v>0</v>
      </c>
      <c r="S22" s="249">
        <f>IF('NW - M5'!F11=0,0,IF('NW - M5'!F11&gt;=0,'NW - M5'!F11))</f>
        <v>0</v>
      </c>
      <c r="T22" s="206" t="str">
        <f t="shared" si="9"/>
        <v/>
      </c>
      <c r="U22" s="250">
        <f t="shared" si="10"/>
        <v>0</v>
      </c>
      <c r="V22" s="249">
        <f>IF('NW - M5'!E11=0,0,IF('NW - M5'!E11&gt;=0,'NW - M5'!E11))</f>
        <v>0</v>
      </c>
      <c r="W22" s="206" t="str">
        <f t="shared" si="11"/>
        <v/>
      </c>
      <c r="X22" s="250">
        <f t="shared" si="12"/>
        <v>0</v>
      </c>
      <c r="Y22" s="249">
        <f>IF('NW - M5'!I11=0,0,IF('NW - M5'!I11&gt;=0,'NW - M5'!I11))</f>
        <v>0</v>
      </c>
      <c r="Z22" s="206" t="str">
        <f t="shared" si="13"/>
        <v/>
      </c>
      <c r="AA22" s="250">
        <f t="shared" si="14"/>
        <v>0</v>
      </c>
      <c r="AB22" s="249">
        <f>IF('NW - M5'!H11=0,0,IF('NW - M5'!H11&gt;=0,'NW - M5'!H11))</f>
        <v>0</v>
      </c>
      <c r="AC22" s="206" t="str">
        <f t="shared" si="15"/>
        <v/>
      </c>
      <c r="AD22" s="1" t="str">
        <f t="shared" si="39"/>
        <v/>
      </c>
      <c r="AE22" s="1" t="str">
        <f t="shared" si="16"/>
        <v/>
      </c>
      <c r="AF22" s="1" t="str">
        <f t="shared" si="17"/>
        <v/>
      </c>
      <c r="AG22" s="1" t="str">
        <f t="shared" si="18"/>
        <v/>
      </c>
      <c r="AH22" s="1" t="str">
        <f t="shared" si="19"/>
        <v/>
      </c>
      <c r="AI22" s="1">
        <f t="shared" si="20"/>
        <v>0</v>
      </c>
      <c r="AJ22" s="106" t="b">
        <f t="shared" si="21"/>
        <v>0</v>
      </c>
      <c r="AK22" s="106" t="b">
        <f t="shared" si="22"/>
        <v>0</v>
      </c>
      <c r="AL22" s="106" t="b">
        <f t="shared" si="23"/>
        <v>0</v>
      </c>
      <c r="AM22" s="106" t="b">
        <f t="shared" si="24"/>
        <v>0</v>
      </c>
      <c r="AN22" s="106" t="b">
        <f t="shared" si="25"/>
        <v>0</v>
      </c>
      <c r="AO22" s="106" t="b">
        <f t="shared" si="40"/>
        <v>0</v>
      </c>
      <c r="AP22" s="106" t="b">
        <f t="shared" si="26"/>
        <v>0</v>
      </c>
      <c r="AQ22" s="106" t="b">
        <f t="shared" si="27"/>
        <v>0</v>
      </c>
      <c r="AR22" s="106" t="b">
        <f t="shared" si="28"/>
        <v>0</v>
      </c>
      <c r="AS22" s="106" t="b">
        <f t="shared" si="29"/>
        <v>0</v>
      </c>
      <c r="AT22" s="148" t="str">
        <f t="shared" si="41"/>
        <v/>
      </c>
      <c r="AU22" s="198" t="e">
        <f t="shared" si="30"/>
        <v>#VALUE!</v>
      </c>
      <c r="AV22" s="204" t="str">
        <f t="shared" si="31"/>
        <v/>
      </c>
      <c r="AW22" s="107" t="str">
        <f t="shared" si="32"/>
        <v/>
      </c>
      <c r="AX22" s="108"/>
      <c r="AY22" s="109" t="str">
        <f t="shared" si="33"/>
        <v/>
      </c>
      <c r="AZ22" s="110"/>
      <c r="BA22" s="111" t="str">
        <f t="shared" si="34"/>
        <v/>
      </c>
      <c r="BB22" s="112"/>
      <c r="BC22" s="113" t="str">
        <f t="shared" si="35"/>
        <v/>
      </c>
      <c r="BD22" s="114">
        <f t="shared" si="36"/>
        <v>0</v>
      </c>
      <c r="BE22" s="118"/>
      <c r="BF22" s="113" t="str">
        <f t="shared" si="37"/>
        <v/>
      </c>
      <c r="BG22" s="116">
        <f t="shared" si="38"/>
        <v>0</v>
      </c>
    </row>
    <row r="23" spans="1:59" ht="15" customHeight="1" x14ac:dyDescent="0.2">
      <c r="A23">
        <v>7</v>
      </c>
      <c r="B23" s="186">
        <f>BEGINBLAD!B12</f>
        <v>0</v>
      </c>
      <c r="C23" s="110" t="str">
        <f>IF('RIO - E4'!C23="","",IF('RIO - E4'!C23&gt;"",'RIO - E4'!C23))</f>
        <v/>
      </c>
      <c r="D23" s="149" t="str">
        <f>IF('NW - M5'!N12="","",IF('NW - M5'!N12="A+","A",IF('NW - M5'!N12="A","A",IF('NW - M5'!N12="B","B",IF('NW - M5'!N12="C","C",IF('NW - M5'!N12="C-","C",IF('NW - M5'!N12="D","D",IF('NW - M5'!N12="E","E"))))))))</f>
        <v/>
      </c>
      <c r="E23" s="110"/>
      <c r="F23" s="192" t="str">
        <f t="shared" si="0"/>
        <v/>
      </c>
      <c r="G23" s="192" t="str">
        <f t="shared" si="1"/>
        <v/>
      </c>
      <c r="H23" s="191" t="str">
        <f t="shared" si="2"/>
        <v/>
      </c>
      <c r="I23" s="193" t="str">
        <f t="shared" si="3"/>
        <v/>
      </c>
      <c r="J23" s="208" t="str">
        <f t="shared" si="4"/>
        <v/>
      </c>
      <c r="K23" s="210" t="str">
        <f t="shared" si="5"/>
        <v/>
      </c>
      <c r="L23" s="189"/>
      <c r="M23" s="110"/>
      <c r="N23" s="117"/>
      <c r="O23" s="250">
        <f t="shared" si="6"/>
        <v>0</v>
      </c>
      <c r="P23" s="249">
        <f>IF('NW - M5'!D12=0,0,IF('NW - M5'!D12&gt;=0,'NW - M5'!D12))</f>
        <v>0</v>
      </c>
      <c r="Q23" s="206" t="str">
        <f t="shared" si="7"/>
        <v/>
      </c>
      <c r="R23" s="250">
        <f t="shared" si="8"/>
        <v>0</v>
      </c>
      <c r="S23" s="249">
        <f>IF('NW - M5'!F12=0,0,IF('NW - M5'!F12&gt;=0,'NW - M5'!F12))</f>
        <v>0</v>
      </c>
      <c r="T23" s="206" t="str">
        <f t="shared" si="9"/>
        <v/>
      </c>
      <c r="U23" s="250">
        <f t="shared" si="10"/>
        <v>0</v>
      </c>
      <c r="V23" s="249">
        <f>IF('NW - M5'!E12=0,0,IF('NW - M5'!E12&gt;=0,'NW - M5'!E12))</f>
        <v>0</v>
      </c>
      <c r="W23" s="206" t="str">
        <f t="shared" si="11"/>
        <v/>
      </c>
      <c r="X23" s="250">
        <f t="shared" si="12"/>
        <v>0</v>
      </c>
      <c r="Y23" s="249">
        <f>IF('NW - M5'!I12=0,0,IF('NW - M5'!I12&gt;=0,'NW - M5'!I12))</f>
        <v>0</v>
      </c>
      <c r="Z23" s="206" t="str">
        <f t="shared" si="13"/>
        <v/>
      </c>
      <c r="AA23" s="250">
        <f t="shared" si="14"/>
        <v>0</v>
      </c>
      <c r="AB23" s="249">
        <f>IF('NW - M5'!H12=0,0,IF('NW - M5'!H12&gt;=0,'NW - M5'!H12))</f>
        <v>0</v>
      </c>
      <c r="AC23" s="206" t="str">
        <f t="shared" si="15"/>
        <v/>
      </c>
      <c r="AD23" s="1" t="str">
        <f t="shared" si="39"/>
        <v/>
      </c>
      <c r="AE23" s="1" t="str">
        <f t="shared" si="16"/>
        <v/>
      </c>
      <c r="AF23" s="1" t="str">
        <f t="shared" si="17"/>
        <v/>
      </c>
      <c r="AG23" s="1" t="str">
        <f t="shared" si="18"/>
        <v/>
      </c>
      <c r="AH23" s="1" t="str">
        <f t="shared" si="19"/>
        <v/>
      </c>
      <c r="AI23" s="1">
        <f t="shared" si="20"/>
        <v>0</v>
      </c>
      <c r="AJ23" s="106" t="b">
        <f t="shared" si="21"/>
        <v>0</v>
      </c>
      <c r="AK23" s="106" t="b">
        <f t="shared" si="22"/>
        <v>0</v>
      </c>
      <c r="AL23" s="106" t="b">
        <f t="shared" si="23"/>
        <v>0</v>
      </c>
      <c r="AM23" s="106" t="b">
        <f t="shared" si="24"/>
        <v>0</v>
      </c>
      <c r="AN23" s="106" t="b">
        <f t="shared" si="25"/>
        <v>0</v>
      </c>
      <c r="AO23" s="106" t="b">
        <f t="shared" si="40"/>
        <v>0</v>
      </c>
      <c r="AP23" s="106" t="b">
        <f t="shared" si="26"/>
        <v>0</v>
      </c>
      <c r="AQ23" s="106" t="b">
        <f t="shared" si="27"/>
        <v>0</v>
      </c>
      <c r="AR23" s="106" t="b">
        <f t="shared" si="28"/>
        <v>0</v>
      </c>
      <c r="AS23" s="106" t="b">
        <f t="shared" si="29"/>
        <v>0</v>
      </c>
      <c r="AT23" s="148" t="str">
        <f t="shared" si="41"/>
        <v/>
      </c>
      <c r="AU23" s="198" t="e">
        <f t="shared" si="30"/>
        <v>#VALUE!</v>
      </c>
      <c r="AV23" s="204" t="str">
        <f t="shared" si="31"/>
        <v/>
      </c>
      <c r="AW23" s="107" t="str">
        <f t="shared" si="32"/>
        <v/>
      </c>
      <c r="AX23" s="108"/>
      <c r="AY23" s="109" t="str">
        <f t="shared" si="33"/>
        <v/>
      </c>
      <c r="AZ23" s="110"/>
      <c r="BA23" s="111" t="str">
        <f t="shared" si="34"/>
        <v/>
      </c>
      <c r="BB23" s="112"/>
      <c r="BC23" s="113" t="str">
        <f t="shared" si="35"/>
        <v/>
      </c>
      <c r="BD23" s="114">
        <f t="shared" si="36"/>
        <v>0</v>
      </c>
      <c r="BE23" s="118"/>
      <c r="BF23" s="113" t="str">
        <f t="shared" si="37"/>
        <v/>
      </c>
      <c r="BG23" s="116">
        <f t="shared" si="38"/>
        <v>0</v>
      </c>
    </row>
    <row r="24" spans="1:59" ht="15" customHeight="1" x14ac:dyDescent="0.2">
      <c r="A24">
        <v>8</v>
      </c>
      <c r="B24" s="186">
        <f>BEGINBLAD!B13</f>
        <v>0</v>
      </c>
      <c r="C24" s="110" t="str">
        <f>IF('RIO - E4'!C24="","",IF('RIO - E4'!C24&gt;"",'RIO - E4'!C24))</f>
        <v/>
      </c>
      <c r="D24" s="149" t="str">
        <f>IF('NW - M5'!N13="","",IF('NW - M5'!N13="A+","A",IF('NW - M5'!N13="A","A",IF('NW - M5'!N13="B","B",IF('NW - M5'!N13="C","C",IF('NW - M5'!N13="C-","C",IF('NW - M5'!N13="D","D",IF('NW - M5'!N13="E","E"))))))))</f>
        <v/>
      </c>
      <c r="E24" s="110"/>
      <c r="F24" s="192" t="str">
        <f t="shared" si="0"/>
        <v/>
      </c>
      <c r="G24" s="192" t="str">
        <f t="shared" si="1"/>
        <v/>
      </c>
      <c r="H24" s="191" t="str">
        <f t="shared" si="2"/>
        <v/>
      </c>
      <c r="I24" s="193" t="str">
        <f t="shared" si="3"/>
        <v/>
      </c>
      <c r="J24" s="208" t="str">
        <f t="shared" si="4"/>
        <v/>
      </c>
      <c r="K24" s="210" t="str">
        <f t="shared" si="5"/>
        <v/>
      </c>
      <c r="L24" s="189"/>
      <c r="M24" s="110"/>
      <c r="N24" s="117"/>
      <c r="O24" s="250">
        <f t="shared" si="6"/>
        <v>0</v>
      </c>
      <c r="P24" s="249">
        <f>IF('NW - M5'!D13=0,0,IF('NW - M5'!D13&gt;=0,'NW - M5'!D13))</f>
        <v>0</v>
      </c>
      <c r="Q24" s="206" t="str">
        <f t="shared" si="7"/>
        <v/>
      </c>
      <c r="R24" s="250">
        <f t="shared" si="8"/>
        <v>0</v>
      </c>
      <c r="S24" s="249">
        <f>IF('NW - M5'!F13=0,0,IF('NW - M5'!F13&gt;=0,'NW - M5'!F13))</f>
        <v>0</v>
      </c>
      <c r="T24" s="206" t="str">
        <f t="shared" si="9"/>
        <v/>
      </c>
      <c r="U24" s="250">
        <f t="shared" si="10"/>
        <v>0</v>
      </c>
      <c r="V24" s="249">
        <f>IF('NW - M5'!E13=0,0,IF('NW - M5'!E13&gt;=0,'NW - M5'!E13))</f>
        <v>0</v>
      </c>
      <c r="W24" s="206" t="str">
        <f t="shared" si="11"/>
        <v/>
      </c>
      <c r="X24" s="250">
        <f t="shared" si="12"/>
        <v>0</v>
      </c>
      <c r="Y24" s="249">
        <f>IF('NW - M5'!I13=0,0,IF('NW - M5'!I13&gt;=0,'NW - M5'!I13))</f>
        <v>0</v>
      </c>
      <c r="Z24" s="206" t="str">
        <f t="shared" si="13"/>
        <v/>
      </c>
      <c r="AA24" s="250">
        <f t="shared" si="14"/>
        <v>0</v>
      </c>
      <c r="AB24" s="249">
        <f>IF('NW - M5'!H13=0,0,IF('NW - M5'!H13&gt;=0,'NW - M5'!H13))</f>
        <v>0</v>
      </c>
      <c r="AC24" s="206" t="str">
        <f t="shared" si="15"/>
        <v/>
      </c>
      <c r="AD24" s="1" t="str">
        <f t="shared" si="39"/>
        <v/>
      </c>
      <c r="AE24" s="1" t="str">
        <f t="shared" si="16"/>
        <v/>
      </c>
      <c r="AF24" s="1" t="str">
        <f t="shared" si="17"/>
        <v/>
      </c>
      <c r="AG24" s="1" t="str">
        <f t="shared" si="18"/>
        <v/>
      </c>
      <c r="AH24" s="1" t="str">
        <f t="shared" si="19"/>
        <v/>
      </c>
      <c r="AI24" s="1">
        <f t="shared" si="20"/>
        <v>0</v>
      </c>
      <c r="AJ24" s="106" t="b">
        <f t="shared" si="21"/>
        <v>0</v>
      </c>
      <c r="AK24" s="106" t="b">
        <f t="shared" si="22"/>
        <v>0</v>
      </c>
      <c r="AL24" s="106" t="b">
        <f t="shared" si="23"/>
        <v>0</v>
      </c>
      <c r="AM24" s="106" t="b">
        <f t="shared" si="24"/>
        <v>0</v>
      </c>
      <c r="AN24" s="106" t="b">
        <f t="shared" si="25"/>
        <v>0</v>
      </c>
      <c r="AO24" s="106" t="b">
        <f t="shared" si="40"/>
        <v>0</v>
      </c>
      <c r="AP24" s="106" t="b">
        <f t="shared" si="26"/>
        <v>0</v>
      </c>
      <c r="AQ24" s="106" t="b">
        <f t="shared" si="27"/>
        <v>0</v>
      </c>
      <c r="AR24" s="106" t="b">
        <f t="shared" si="28"/>
        <v>0</v>
      </c>
      <c r="AS24" s="106" t="b">
        <f t="shared" si="29"/>
        <v>0</v>
      </c>
      <c r="AT24" s="148" t="str">
        <f t="shared" si="41"/>
        <v/>
      </c>
      <c r="AU24" s="198" t="e">
        <f t="shared" si="30"/>
        <v>#VALUE!</v>
      </c>
      <c r="AV24" s="204" t="str">
        <f t="shared" si="31"/>
        <v/>
      </c>
      <c r="AW24" s="107" t="str">
        <f t="shared" si="32"/>
        <v/>
      </c>
      <c r="AX24" s="108" t="s">
        <v>28</v>
      </c>
      <c r="AY24" s="109" t="str">
        <f t="shared" si="33"/>
        <v/>
      </c>
      <c r="AZ24" s="110"/>
      <c r="BA24" s="111" t="str">
        <f t="shared" si="34"/>
        <v/>
      </c>
      <c r="BB24" s="112"/>
      <c r="BC24" s="113" t="str">
        <f t="shared" si="35"/>
        <v/>
      </c>
      <c r="BD24" s="114">
        <f t="shared" si="36"/>
        <v>0</v>
      </c>
      <c r="BE24" s="118"/>
      <c r="BF24" s="113" t="str">
        <f t="shared" si="37"/>
        <v/>
      </c>
      <c r="BG24" s="116">
        <f t="shared" si="38"/>
        <v>0</v>
      </c>
    </row>
    <row r="25" spans="1:59" ht="15" customHeight="1" x14ac:dyDescent="0.2">
      <c r="A25">
        <v>9</v>
      </c>
      <c r="B25" s="186">
        <f>BEGINBLAD!B14</f>
        <v>0</v>
      </c>
      <c r="C25" s="110" t="str">
        <f>IF('RIO - E4'!C25="","",IF('RIO - E4'!C25&gt;"",'RIO - E4'!C25))</f>
        <v/>
      </c>
      <c r="D25" s="149" t="str">
        <f>IF('NW - M5'!N14="","",IF('NW - M5'!N14="A+","A",IF('NW - M5'!N14="A","A",IF('NW - M5'!N14="B","B",IF('NW - M5'!N14="C","C",IF('NW - M5'!N14="C-","C",IF('NW - M5'!N14="D","D",IF('NW - M5'!N14="E","E"))))))))</f>
        <v/>
      </c>
      <c r="E25" s="110"/>
      <c r="F25" s="192" t="str">
        <f t="shared" si="0"/>
        <v/>
      </c>
      <c r="G25" s="192" t="str">
        <f t="shared" si="1"/>
        <v/>
      </c>
      <c r="H25" s="191" t="str">
        <f t="shared" si="2"/>
        <v/>
      </c>
      <c r="I25" s="193" t="str">
        <f t="shared" si="3"/>
        <v/>
      </c>
      <c r="J25" s="208" t="str">
        <f t="shared" si="4"/>
        <v/>
      </c>
      <c r="K25" s="210" t="str">
        <f t="shared" si="5"/>
        <v/>
      </c>
      <c r="L25" s="189"/>
      <c r="M25" s="110"/>
      <c r="N25" s="117"/>
      <c r="O25" s="250">
        <f t="shared" si="6"/>
        <v>0</v>
      </c>
      <c r="P25" s="249">
        <f>IF('NW - M5'!D14=0,0,IF('NW - M5'!D14&gt;=0,'NW - M5'!D14))</f>
        <v>0</v>
      </c>
      <c r="Q25" s="206" t="str">
        <f t="shared" si="7"/>
        <v/>
      </c>
      <c r="R25" s="250">
        <f t="shared" si="8"/>
        <v>0</v>
      </c>
      <c r="S25" s="249">
        <f>IF('NW - M5'!F14=0,0,IF('NW - M5'!F14&gt;=0,'NW - M5'!F14))</f>
        <v>0</v>
      </c>
      <c r="T25" s="206" t="str">
        <f t="shared" si="9"/>
        <v/>
      </c>
      <c r="U25" s="250">
        <f t="shared" si="10"/>
        <v>0</v>
      </c>
      <c r="V25" s="249">
        <f>IF('NW - M5'!E14=0,0,IF('NW - M5'!E14&gt;=0,'NW - M5'!E14))</f>
        <v>0</v>
      </c>
      <c r="W25" s="206" t="str">
        <f t="shared" si="11"/>
        <v/>
      </c>
      <c r="X25" s="250">
        <f t="shared" si="12"/>
        <v>0</v>
      </c>
      <c r="Y25" s="249">
        <f>IF('NW - M5'!I14=0,0,IF('NW - M5'!I14&gt;=0,'NW - M5'!I14))</f>
        <v>0</v>
      </c>
      <c r="Z25" s="206" t="str">
        <f t="shared" si="13"/>
        <v/>
      </c>
      <c r="AA25" s="250">
        <f t="shared" si="14"/>
        <v>0</v>
      </c>
      <c r="AB25" s="249">
        <f>IF('NW - M5'!H14=0,0,IF('NW - M5'!H14&gt;=0,'NW - M5'!H14))</f>
        <v>0</v>
      </c>
      <c r="AC25" s="206" t="str">
        <f t="shared" si="15"/>
        <v/>
      </c>
      <c r="AD25" s="1" t="str">
        <f t="shared" si="39"/>
        <v/>
      </c>
      <c r="AE25" s="1" t="str">
        <f t="shared" si="16"/>
        <v/>
      </c>
      <c r="AF25" s="1" t="str">
        <f t="shared" si="17"/>
        <v/>
      </c>
      <c r="AG25" s="1" t="str">
        <f t="shared" si="18"/>
        <v/>
      </c>
      <c r="AH25" s="1" t="str">
        <f t="shared" si="19"/>
        <v/>
      </c>
      <c r="AI25" s="1">
        <f t="shared" si="20"/>
        <v>0</v>
      </c>
      <c r="AJ25" s="106" t="b">
        <f t="shared" si="21"/>
        <v>0</v>
      </c>
      <c r="AK25" s="106" t="b">
        <f t="shared" si="22"/>
        <v>0</v>
      </c>
      <c r="AL25" s="106" t="b">
        <f t="shared" si="23"/>
        <v>0</v>
      </c>
      <c r="AM25" s="106" t="b">
        <f t="shared" si="24"/>
        <v>0</v>
      </c>
      <c r="AN25" s="106" t="b">
        <f t="shared" si="25"/>
        <v>0</v>
      </c>
      <c r="AO25" s="106" t="b">
        <f t="shared" si="40"/>
        <v>0</v>
      </c>
      <c r="AP25" s="106" t="b">
        <f t="shared" si="26"/>
        <v>0</v>
      </c>
      <c r="AQ25" s="106" t="b">
        <f t="shared" si="27"/>
        <v>0</v>
      </c>
      <c r="AR25" s="106" t="b">
        <f t="shared" si="28"/>
        <v>0</v>
      </c>
      <c r="AS25" s="106" t="b">
        <f t="shared" si="29"/>
        <v>0</v>
      </c>
      <c r="AT25" s="148" t="str">
        <f t="shared" si="41"/>
        <v/>
      </c>
      <c r="AU25" s="198" t="e">
        <f t="shared" si="30"/>
        <v>#VALUE!</v>
      </c>
      <c r="AV25" s="204" t="str">
        <f t="shared" si="31"/>
        <v/>
      </c>
      <c r="AW25" s="107" t="str">
        <f t="shared" si="32"/>
        <v/>
      </c>
      <c r="AX25" s="108"/>
      <c r="AY25" s="109" t="str">
        <f t="shared" si="33"/>
        <v/>
      </c>
      <c r="AZ25" s="110"/>
      <c r="BA25" s="111" t="str">
        <f t="shared" si="34"/>
        <v/>
      </c>
      <c r="BB25" s="112"/>
      <c r="BC25" s="113" t="str">
        <f t="shared" si="35"/>
        <v/>
      </c>
      <c r="BD25" s="114">
        <f t="shared" si="36"/>
        <v>0</v>
      </c>
      <c r="BE25" s="118"/>
      <c r="BF25" s="113" t="str">
        <f t="shared" si="37"/>
        <v/>
      </c>
      <c r="BG25" s="116">
        <f t="shared" si="38"/>
        <v>0</v>
      </c>
    </row>
    <row r="26" spans="1:59" ht="15" customHeight="1" x14ac:dyDescent="0.2">
      <c r="A26">
        <v>10</v>
      </c>
      <c r="B26" s="186">
        <f>BEGINBLAD!B15</f>
        <v>0</v>
      </c>
      <c r="C26" s="110" t="str">
        <f>IF('RIO - E4'!C26="","",IF('RIO - E4'!C26&gt;"",'RIO - E4'!C26))</f>
        <v/>
      </c>
      <c r="D26" s="149" t="str">
        <f>IF('NW - M5'!N15="","",IF('NW - M5'!N15="A+","A",IF('NW - M5'!N15="A","A",IF('NW - M5'!N15="B","B",IF('NW - M5'!N15="C","C",IF('NW - M5'!N15="C-","C",IF('NW - M5'!N15="D","D",IF('NW - M5'!N15="E","E"))))))))</f>
        <v/>
      </c>
      <c r="E26" s="110"/>
      <c r="F26" s="192" t="str">
        <f t="shared" si="0"/>
        <v/>
      </c>
      <c r="G26" s="192" t="str">
        <f t="shared" si="1"/>
        <v/>
      </c>
      <c r="H26" s="191" t="str">
        <f t="shared" si="2"/>
        <v/>
      </c>
      <c r="I26" s="193" t="str">
        <f t="shared" si="3"/>
        <v/>
      </c>
      <c r="J26" s="208" t="str">
        <f t="shared" si="4"/>
        <v/>
      </c>
      <c r="K26" s="210" t="str">
        <f t="shared" si="5"/>
        <v/>
      </c>
      <c r="L26" s="189"/>
      <c r="M26" s="110"/>
      <c r="N26" s="117"/>
      <c r="O26" s="250">
        <f t="shared" si="6"/>
        <v>0</v>
      </c>
      <c r="P26" s="249">
        <f>IF('NW - M5'!D15=0,0,IF('NW - M5'!D15&gt;=0,'NW - M5'!D15))</f>
        <v>0</v>
      </c>
      <c r="Q26" s="206" t="str">
        <f t="shared" si="7"/>
        <v/>
      </c>
      <c r="R26" s="250">
        <f t="shared" si="8"/>
        <v>0</v>
      </c>
      <c r="S26" s="249">
        <f>IF('NW - M5'!F15=0,0,IF('NW - M5'!F15&gt;=0,'NW - M5'!F15))</f>
        <v>0</v>
      </c>
      <c r="T26" s="206" t="str">
        <f t="shared" si="9"/>
        <v/>
      </c>
      <c r="U26" s="250">
        <f t="shared" si="10"/>
        <v>0</v>
      </c>
      <c r="V26" s="249">
        <f>IF('NW - M5'!E15=0,0,IF('NW - M5'!E15&gt;=0,'NW - M5'!E15))</f>
        <v>0</v>
      </c>
      <c r="W26" s="206" t="str">
        <f t="shared" si="11"/>
        <v/>
      </c>
      <c r="X26" s="250">
        <f t="shared" si="12"/>
        <v>0</v>
      </c>
      <c r="Y26" s="249">
        <f>IF('NW - M5'!I15=0,0,IF('NW - M5'!I15&gt;=0,'NW - M5'!I15))</f>
        <v>0</v>
      </c>
      <c r="Z26" s="206" t="str">
        <f t="shared" si="13"/>
        <v/>
      </c>
      <c r="AA26" s="250">
        <f t="shared" si="14"/>
        <v>0</v>
      </c>
      <c r="AB26" s="249">
        <f>IF('NW - M5'!H15=0,0,IF('NW - M5'!H15&gt;=0,'NW - M5'!H15))</f>
        <v>0</v>
      </c>
      <c r="AC26" s="206" t="str">
        <f t="shared" si="15"/>
        <v/>
      </c>
      <c r="AD26" s="1" t="str">
        <f t="shared" si="39"/>
        <v/>
      </c>
      <c r="AE26" s="1" t="str">
        <f t="shared" si="16"/>
        <v/>
      </c>
      <c r="AF26" s="1" t="str">
        <f t="shared" si="17"/>
        <v/>
      </c>
      <c r="AG26" s="1" t="str">
        <f t="shared" si="18"/>
        <v/>
      </c>
      <c r="AH26" s="1" t="str">
        <f t="shared" si="19"/>
        <v/>
      </c>
      <c r="AI26" s="1">
        <f t="shared" si="20"/>
        <v>0</v>
      </c>
      <c r="AJ26" s="106" t="b">
        <f t="shared" si="21"/>
        <v>0</v>
      </c>
      <c r="AK26" s="106" t="b">
        <f t="shared" si="22"/>
        <v>0</v>
      </c>
      <c r="AL26" s="106" t="b">
        <f t="shared" si="23"/>
        <v>0</v>
      </c>
      <c r="AM26" s="106" t="b">
        <f t="shared" si="24"/>
        <v>0</v>
      </c>
      <c r="AN26" s="106" t="b">
        <f t="shared" si="25"/>
        <v>0</v>
      </c>
      <c r="AO26" s="106" t="b">
        <f t="shared" si="40"/>
        <v>0</v>
      </c>
      <c r="AP26" s="106" t="b">
        <f t="shared" si="26"/>
        <v>0</v>
      </c>
      <c r="AQ26" s="106" t="b">
        <f t="shared" si="27"/>
        <v>0</v>
      </c>
      <c r="AR26" s="106" t="b">
        <f t="shared" si="28"/>
        <v>0</v>
      </c>
      <c r="AS26" s="106" t="b">
        <f t="shared" si="29"/>
        <v>0</v>
      </c>
      <c r="AT26" s="148" t="str">
        <f t="shared" si="41"/>
        <v/>
      </c>
      <c r="AU26" s="198" t="e">
        <f t="shared" si="30"/>
        <v>#VALUE!</v>
      </c>
      <c r="AV26" s="204" t="str">
        <f t="shared" si="31"/>
        <v/>
      </c>
      <c r="AW26" s="107" t="str">
        <f t="shared" si="32"/>
        <v/>
      </c>
      <c r="AX26" s="108"/>
      <c r="AY26" s="109" t="str">
        <f t="shared" si="33"/>
        <v/>
      </c>
      <c r="AZ26" s="110"/>
      <c r="BA26" s="111" t="str">
        <f t="shared" si="34"/>
        <v/>
      </c>
      <c r="BB26" s="112"/>
      <c r="BC26" s="113" t="str">
        <f t="shared" si="35"/>
        <v/>
      </c>
      <c r="BD26" s="114">
        <f t="shared" si="36"/>
        <v>0</v>
      </c>
      <c r="BE26" s="118"/>
      <c r="BF26" s="113" t="str">
        <f t="shared" si="37"/>
        <v/>
      </c>
      <c r="BG26" s="116">
        <f t="shared" si="38"/>
        <v>0</v>
      </c>
    </row>
    <row r="27" spans="1:59" ht="15" customHeight="1" x14ac:dyDescent="0.2">
      <c r="A27">
        <v>11</v>
      </c>
      <c r="B27" s="186">
        <f>BEGINBLAD!B16</f>
        <v>0</v>
      </c>
      <c r="C27" s="110" t="str">
        <f>IF('RIO - E4'!C27="","",IF('RIO - E4'!C27&gt;"",'RIO - E4'!C27))</f>
        <v/>
      </c>
      <c r="D27" s="149" t="str">
        <f>IF('NW - M5'!N16="","",IF('NW - M5'!N16="A+","A",IF('NW - M5'!N16="A","A",IF('NW - M5'!N16="B","B",IF('NW - M5'!N16="C","C",IF('NW - M5'!N16="C-","C",IF('NW - M5'!N16="D","D",IF('NW - M5'!N16="E","E"))))))))</f>
        <v/>
      </c>
      <c r="E27" s="110"/>
      <c r="F27" s="192" t="str">
        <f t="shared" si="0"/>
        <v/>
      </c>
      <c r="G27" s="192" t="str">
        <f t="shared" si="1"/>
        <v/>
      </c>
      <c r="H27" s="191" t="str">
        <f t="shared" si="2"/>
        <v/>
      </c>
      <c r="I27" s="193" t="str">
        <f t="shared" si="3"/>
        <v/>
      </c>
      <c r="J27" s="208" t="str">
        <f t="shared" si="4"/>
        <v/>
      </c>
      <c r="K27" s="210" t="str">
        <f t="shared" si="5"/>
        <v/>
      </c>
      <c r="L27" s="189"/>
      <c r="M27" s="110"/>
      <c r="N27" s="117"/>
      <c r="O27" s="250">
        <f t="shared" si="6"/>
        <v>0</v>
      </c>
      <c r="P27" s="249">
        <f>IF('NW - M5'!D16=0,0,IF('NW - M5'!D16&gt;=0,'NW - M5'!D16))</f>
        <v>0</v>
      </c>
      <c r="Q27" s="206" t="str">
        <f t="shared" si="7"/>
        <v/>
      </c>
      <c r="R27" s="250">
        <f t="shared" si="8"/>
        <v>0</v>
      </c>
      <c r="S27" s="249">
        <f>IF('NW - M5'!F16=0,0,IF('NW - M5'!F16&gt;=0,'NW - M5'!F16))</f>
        <v>0</v>
      </c>
      <c r="T27" s="206" t="str">
        <f t="shared" si="9"/>
        <v/>
      </c>
      <c r="U27" s="250">
        <f t="shared" si="10"/>
        <v>0</v>
      </c>
      <c r="V27" s="249">
        <f>IF('NW - M5'!E16=0,0,IF('NW - M5'!E16&gt;=0,'NW - M5'!E16))</f>
        <v>0</v>
      </c>
      <c r="W27" s="206" t="str">
        <f t="shared" si="11"/>
        <v/>
      </c>
      <c r="X27" s="250">
        <f t="shared" si="12"/>
        <v>0</v>
      </c>
      <c r="Y27" s="249">
        <f>IF('NW - M5'!I16=0,0,IF('NW - M5'!I16&gt;=0,'NW - M5'!I16))</f>
        <v>0</v>
      </c>
      <c r="Z27" s="206" t="str">
        <f t="shared" si="13"/>
        <v/>
      </c>
      <c r="AA27" s="250">
        <f t="shared" si="14"/>
        <v>0</v>
      </c>
      <c r="AB27" s="249">
        <f>IF('NW - M5'!H16=0,0,IF('NW - M5'!H16&gt;=0,'NW - M5'!H16))</f>
        <v>0</v>
      </c>
      <c r="AC27" s="206" t="str">
        <f t="shared" si="15"/>
        <v/>
      </c>
      <c r="AD27" s="1" t="str">
        <f t="shared" si="39"/>
        <v/>
      </c>
      <c r="AE27" s="1" t="str">
        <f t="shared" si="16"/>
        <v/>
      </c>
      <c r="AF27" s="1" t="str">
        <f t="shared" si="17"/>
        <v/>
      </c>
      <c r="AG27" s="1" t="str">
        <f t="shared" si="18"/>
        <v/>
      </c>
      <c r="AH27" s="1" t="str">
        <f t="shared" si="19"/>
        <v/>
      </c>
      <c r="AI27" s="1">
        <f t="shared" si="20"/>
        <v>0</v>
      </c>
      <c r="AJ27" s="106" t="b">
        <f t="shared" si="21"/>
        <v>0</v>
      </c>
      <c r="AK27" s="106" t="b">
        <f t="shared" si="22"/>
        <v>0</v>
      </c>
      <c r="AL27" s="106" t="b">
        <f t="shared" si="23"/>
        <v>0</v>
      </c>
      <c r="AM27" s="106" t="b">
        <f t="shared" si="24"/>
        <v>0</v>
      </c>
      <c r="AN27" s="106" t="b">
        <f t="shared" si="25"/>
        <v>0</v>
      </c>
      <c r="AO27" s="106" t="b">
        <f t="shared" si="40"/>
        <v>0</v>
      </c>
      <c r="AP27" s="106" t="b">
        <f t="shared" si="26"/>
        <v>0</v>
      </c>
      <c r="AQ27" s="106" t="b">
        <f t="shared" si="27"/>
        <v>0</v>
      </c>
      <c r="AR27" s="106" t="b">
        <f t="shared" si="28"/>
        <v>0</v>
      </c>
      <c r="AS27" s="106" t="b">
        <f t="shared" si="29"/>
        <v>0</v>
      </c>
      <c r="AT27" s="148" t="str">
        <f t="shared" si="41"/>
        <v/>
      </c>
      <c r="AU27" s="198" t="e">
        <f t="shared" si="30"/>
        <v>#VALUE!</v>
      </c>
      <c r="AV27" s="204" t="str">
        <f t="shared" si="31"/>
        <v/>
      </c>
      <c r="AW27" s="107" t="str">
        <f t="shared" si="32"/>
        <v/>
      </c>
      <c r="AX27" s="108"/>
      <c r="AY27" s="109" t="str">
        <f t="shared" si="33"/>
        <v/>
      </c>
      <c r="AZ27" s="110"/>
      <c r="BA27" s="111" t="str">
        <f t="shared" si="34"/>
        <v/>
      </c>
      <c r="BB27" s="112"/>
      <c r="BC27" s="113" t="str">
        <f t="shared" si="35"/>
        <v/>
      </c>
      <c r="BD27" s="114">
        <f t="shared" si="36"/>
        <v>0</v>
      </c>
      <c r="BE27" s="118"/>
      <c r="BF27" s="113" t="str">
        <f t="shared" si="37"/>
        <v/>
      </c>
      <c r="BG27" s="116">
        <f t="shared" si="38"/>
        <v>0</v>
      </c>
    </row>
    <row r="28" spans="1:59" ht="15" customHeight="1" x14ac:dyDescent="0.2">
      <c r="A28">
        <v>12</v>
      </c>
      <c r="B28" s="186">
        <f>BEGINBLAD!B17</f>
        <v>0</v>
      </c>
      <c r="C28" s="110" t="str">
        <f>IF('RIO - E4'!C28="","",IF('RIO - E4'!C28&gt;"",'RIO - E4'!C28))</f>
        <v/>
      </c>
      <c r="D28" s="149" t="str">
        <f>IF('NW - M5'!N17="","",IF('NW - M5'!N17="A+","A",IF('NW - M5'!N17="A","A",IF('NW - M5'!N17="B","B",IF('NW - M5'!N17="C","C",IF('NW - M5'!N17="C-","C",IF('NW - M5'!N17="D","D",IF('NW - M5'!N17="E","E"))))))))</f>
        <v/>
      </c>
      <c r="E28" s="110"/>
      <c r="F28" s="192" t="str">
        <f t="shared" si="0"/>
        <v/>
      </c>
      <c r="G28" s="192" t="str">
        <f t="shared" si="1"/>
        <v/>
      </c>
      <c r="H28" s="191" t="str">
        <f t="shared" si="2"/>
        <v/>
      </c>
      <c r="I28" s="193" t="str">
        <f t="shared" si="3"/>
        <v/>
      </c>
      <c r="J28" s="208" t="str">
        <f t="shared" si="4"/>
        <v/>
      </c>
      <c r="K28" s="210" t="str">
        <f t="shared" si="5"/>
        <v/>
      </c>
      <c r="L28" s="189"/>
      <c r="M28" s="110"/>
      <c r="N28" s="117"/>
      <c r="O28" s="250">
        <f t="shared" si="6"/>
        <v>0</v>
      </c>
      <c r="P28" s="249">
        <f>IF('NW - M5'!D17=0,0,IF('NW - M5'!D17&gt;=0,'NW - M5'!D17))</f>
        <v>0</v>
      </c>
      <c r="Q28" s="206" t="str">
        <f t="shared" si="7"/>
        <v/>
      </c>
      <c r="R28" s="250">
        <f t="shared" si="8"/>
        <v>0</v>
      </c>
      <c r="S28" s="249">
        <f>IF('NW - M5'!F17=0,0,IF('NW - M5'!F17&gt;=0,'NW - M5'!F17))</f>
        <v>0</v>
      </c>
      <c r="T28" s="206" t="str">
        <f t="shared" si="9"/>
        <v/>
      </c>
      <c r="U28" s="250">
        <f t="shared" si="10"/>
        <v>0</v>
      </c>
      <c r="V28" s="249">
        <f>IF('NW - M5'!E17=0,0,IF('NW - M5'!E17&gt;=0,'NW - M5'!E17))</f>
        <v>0</v>
      </c>
      <c r="W28" s="206" t="str">
        <f t="shared" si="11"/>
        <v/>
      </c>
      <c r="X28" s="250">
        <f t="shared" si="12"/>
        <v>0</v>
      </c>
      <c r="Y28" s="249">
        <f>IF('NW - M5'!I17=0,0,IF('NW - M5'!I17&gt;=0,'NW - M5'!I17))</f>
        <v>0</v>
      </c>
      <c r="Z28" s="206" t="str">
        <f t="shared" si="13"/>
        <v/>
      </c>
      <c r="AA28" s="250">
        <f t="shared" si="14"/>
        <v>0</v>
      </c>
      <c r="AB28" s="249">
        <f>IF('NW - M5'!H17=0,0,IF('NW - M5'!H17&gt;=0,'NW - M5'!H17))</f>
        <v>0</v>
      </c>
      <c r="AC28" s="206" t="str">
        <f t="shared" si="15"/>
        <v/>
      </c>
      <c r="AD28" s="1" t="str">
        <f t="shared" si="39"/>
        <v/>
      </c>
      <c r="AE28" s="1" t="str">
        <f t="shared" si="16"/>
        <v/>
      </c>
      <c r="AF28" s="1" t="str">
        <f t="shared" si="17"/>
        <v/>
      </c>
      <c r="AG28" s="1" t="str">
        <f t="shared" si="18"/>
        <v/>
      </c>
      <c r="AH28" s="1" t="str">
        <f t="shared" si="19"/>
        <v/>
      </c>
      <c r="AI28" s="1">
        <f t="shared" si="20"/>
        <v>0</v>
      </c>
      <c r="AJ28" s="106" t="b">
        <f t="shared" si="21"/>
        <v>0</v>
      </c>
      <c r="AK28" s="106" t="b">
        <f t="shared" si="22"/>
        <v>0</v>
      </c>
      <c r="AL28" s="106" t="b">
        <f t="shared" si="23"/>
        <v>0</v>
      </c>
      <c r="AM28" s="106" t="b">
        <f t="shared" si="24"/>
        <v>0</v>
      </c>
      <c r="AN28" s="106" t="b">
        <f t="shared" si="25"/>
        <v>0</v>
      </c>
      <c r="AO28" s="106" t="b">
        <f t="shared" si="40"/>
        <v>0</v>
      </c>
      <c r="AP28" s="106" t="b">
        <f t="shared" si="26"/>
        <v>0</v>
      </c>
      <c r="AQ28" s="106" t="b">
        <f t="shared" si="27"/>
        <v>0</v>
      </c>
      <c r="AR28" s="106" t="b">
        <f t="shared" si="28"/>
        <v>0</v>
      </c>
      <c r="AS28" s="106" t="b">
        <f t="shared" si="29"/>
        <v>0</v>
      </c>
      <c r="AT28" s="148" t="str">
        <f t="shared" si="41"/>
        <v/>
      </c>
      <c r="AU28" s="198" t="e">
        <f t="shared" si="30"/>
        <v>#VALUE!</v>
      </c>
      <c r="AV28" s="204" t="str">
        <f t="shared" si="31"/>
        <v/>
      </c>
      <c r="AW28" s="107" t="str">
        <f t="shared" si="32"/>
        <v/>
      </c>
      <c r="AX28" s="108"/>
      <c r="AY28" s="109" t="str">
        <f t="shared" si="33"/>
        <v/>
      </c>
      <c r="AZ28" s="110"/>
      <c r="BA28" s="111" t="str">
        <f t="shared" si="34"/>
        <v/>
      </c>
      <c r="BB28" s="112"/>
      <c r="BC28" s="113" t="str">
        <f t="shared" si="35"/>
        <v/>
      </c>
      <c r="BD28" s="114">
        <f t="shared" si="36"/>
        <v>0</v>
      </c>
      <c r="BE28" s="118"/>
      <c r="BF28" s="113" t="str">
        <f t="shared" si="37"/>
        <v/>
      </c>
      <c r="BG28" s="116">
        <f t="shared" si="38"/>
        <v>0</v>
      </c>
    </row>
    <row r="29" spans="1:59" ht="15" customHeight="1" x14ac:dyDescent="0.2">
      <c r="A29">
        <v>13</v>
      </c>
      <c r="B29" s="186">
        <f>BEGINBLAD!B18</f>
        <v>0</v>
      </c>
      <c r="C29" s="110" t="str">
        <f>IF('RIO - E4'!C29="","",IF('RIO - E4'!C29&gt;"",'RIO - E4'!C29))</f>
        <v/>
      </c>
      <c r="D29" s="149" t="str">
        <f>IF('NW - M5'!N18="","",IF('NW - M5'!N18="A+","A",IF('NW - M5'!N18="A","A",IF('NW - M5'!N18="B","B",IF('NW - M5'!N18="C","C",IF('NW - M5'!N18="C-","C",IF('NW - M5'!N18="D","D",IF('NW - M5'!N18="E","E"))))))))</f>
        <v/>
      </c>
      <c r="E29" s="110"/>
      <c r="F29" s="192" t="str">
        <f t="shared" si="0"/>
        <v/>
      </c>
      <c r="G29" s="192" t="str">
        <f t="shared" si="1"/>
        <v/>
      </c>
      <c r="H29" s="191" t="str">
        <f t="shared" si="2"/>
        <v/>
      </c>
      <c r="I29" s="193" t="str">
        <f t="shared" si="3"/>
        <v/>
      </c>
      <c r="J29" s="208" t="str">
        <f t="shared" si="4"/>
        <v/>
      </c>
      <c r="K29" s="210" t="str">
        <f t="shared" si="5"/>
        <v/>
      </c>
      <c r="L29" s="189"/>
      <c r="M29" s="110"/>
      <c r="N29" s="117"/>
      <c r="O29" s="250">
        <f t="shared" si="6"/>
        <v>0</v>
      </c>
      <c r="P29" s="249">
        <f>IF('NW - M5'!D18=0,0,IF('NW - M5'!D18&gt;=0,'NW - M5'!D18))</f>
        <v>0</v>
      </c>
      <c r="Q29" s="206" t="str">
        <f t="shared" si="7"/>
        <v/>
      </c>
      <c r="R29" s="250">
        <f t="shared" si="8"/>
        <v>0</v>
      </c>
      <c r="S29" s="249">
        <f>IF('NW - M5'!F18=0,0,IF('NW - M5'!F18&gt;=0,'NW - M5'!F18))</f>
        <v>0</v>
      </c>
      <c r="T29" s="206" t="str">
        <f t="shared" si="9"/>
        <v/>
      </c>
      <c r="U29" s="250">
        <f t="shared" si="10"/>
        <v>0</v>
      </c>
      <c r="V29" s="249">
        <f>IF('NW - M5'!E18=0,0,IF('NW - M5'!E18&gt;=0,'NW - M5'!E18))</f>
        <v>0</v>
      </c>
      <c r="W29" s="206" t="str">
        <f t="shared" si="11"/>
        <v/>
      </c>
      <c r="X29" s="250">
        <f t="shared" si="12"/>
        <v>0</v>
      </c>
      <c r="Y29" s="249">
        <f>IF('NW - M5'!I18=0,0,IF('NW - M5'!I18&gt;=0,'NW - M5'!I18))</f>
        <v>0</v>
      </c>
      <c r="Z29" s="206" t="str">
        <f t="shared" si="13"/>
        <v/>
      </c>
      <c r="AA29" s="250">
        <f t="shared" si="14"/>
        <v>0</v>
      </c>
      <c r="AB29" s="249">
        <f>IF('NW - M5'!H18=0,0,IF('NW - M5'!H18&gt;=0,'NW - M5'!H18))</f>
        <v>0</v>
      </c>
      <c r="AC29" s="206" t="str">
        <f t="shared" si="15"/>
        <v/>
      </c>
      <c r="AD29" s="1" t="str">
        <f t="shared" si="39"/>
        <v/>
      </c>
      <c r="AE29" s="1" t="str">
        <f t="shared" si="16"/>
        <v/>
      </c>
      <c r="AF29" s="1" t="str">
        <f t="shared" si="17"/>
        <v/>
      </c>
      <c r="AG29" s="1" t="str">
        <f t="shared" si="18"/>
        <v/>
      </c>
      <c r="AH29" s="1" t="str">
        <f t="shared" si="19"/>
        <v/>
      </c>
      <c r="AI29" s="1">
        <f t="shared" si="20"/>
        <v>0</v>
      </c>
      <c r="AJ29" s="106" t="b">
        <f t="shared" si="21"/>
        <v>0</v>
      </c>
      <c r="AK29" s="106" t="b">
        <f t="shared" si="22"/>
        <v>0</v>
      </c>
      <c r="AL29" s="106" t="b">
        <f t="shared" si="23"/>
        <v>0</v>
      </c>
      <c r="AM29" s="106" t="b">
        <f t="shared" si="24"/>
        <v>0</v>
      </c>
      <c r="AN29" s="106" t="b">
        <f t="shared" si="25"/>
        <v>0</v>
      </c>
      <c r="AO29" s="106" t="b">
        <f t="shared" si="40"/>
        <v>0</v>
      </c>
      <c r="AP29" s="106" t="b">
        <f t="shared" si="26"/>
        <v>0</v>
      </c>
      <c r="AQ29" s="106" t="b">
        <f t="shared" si="27"/>
        <v>0</v>
      </c>
      <c r="AR29" s="106" t="b">
        <f t="shared" si="28"/>
        <v>0</v>
      </c>
      <c r="AS29" s="106" t="b">
        <f t="shared" si="29"/>
        <v>0</v>
      </c>
      <c r="AT29" s="148" t="str">
        <f t="shared" si="41"/>
        <v/>
      </c>
      <c r="AU29" s="198" t="e">
        <f t="shared" si="30"/>
        <v>#VALUE!</v>
      </c>
      <c r="AV29" s="204" t="str">
        <f t="shared" si="31"/>
        <v/>
      </c>
      <c r="AW29" s="107" t="str">
        <f t="shared" si="32"/>
        <v/>
      </c>
      <c r="AX29" s="108"/>
      <c r="AY29" s="109" t="str">
        <f t="shared" si="33"/>
        <v/>
      </c>
      <c r="AZ29" s="110"/>
      <c r="BA29" s="111" t="str">
        <f t="shared" si="34"/>
        <v/>
      </c>
      <c r="BB29" s="112"/>
      <c r="BC29" s="113" t="str">
        <f t="shared" si="35"/>
        <v/>
      </c>
      <c r="BD29" s="114">
        <f t="shared" si="36"/>
        <v>0</v>
      </c>
      <c r="BE29" s="118"/>
      <c r="BF29" s="113" t="str">
        <f t="shared" si="37"/>
        <v/>
      </c>
      <c r="BG29" s="116">
        <f t="shared" si="38"/>
        <v>0</v>
      </c>
    </row>
    <row r="30" spans="1:59" ht="15" customHeight="1" x14ac:dyDescent="0.2">
      <c r="A30">
        <v>14</v>
      </c>
      <c r="B30" s="186">
        <f>BEGINBLAD!B19</f>
        <v>0</v>
      </c>
      <c r="C30" s="110" t="str">
        <f>IF('RIO - E4'!C30="","",IF('RIO - E4'!C30&gt;"",'RIO - E4'!C30))</f>
        <v/>
      </c>
      <c r="D30" s="149" t="str">
        <f>IF('NW - M5'!N19="","",IF('NW - M5'!N19="A+","A",IF('NW - M5'!N19="A","A",IF('NW - M5'!N19="B","B",IF('NW - M5'!N19="C","C",IF('NW - M5'!N19="C-","C",IF('NW - M5'!N19="D","D",IF('NW - M5'!N19="E","E"))))))))</f>
        <v/>
      </c>
      <c r="E30" s="110"/>
      <c r="F30" s="192" t="str">
        <f t="shared" si="0"/>
        <v/>
      </c>
      <c r="G30" s="192" t="str">
        <f t="shared" si="1"/>
        <v/>
      </c>
      <c r="H30" s="191" t="str">
        <f t="shared" si="2"/>
        <v/>
      </c>
      <c r="I30" s="193" t="str">
        <f t="shared" si="3"/>
        <v/>
      </c>
      <c r="J30" s="208" t="str">
        <f t="shared" si="4"/>
        <v/>
      </c>
      <c r="K30" s="210" t="str">
        <f t="shared" si="5"/>
        <v/>
      </c>
      <c r="L30" s="189"/>
      <c r="M30" s="110"/>
      <c r="N30" s="117"/>
      <c r="O30" s="250">
        <f t="shared" si="6"/>
        <v>0</v>
      </c>
      <c r="P30" s="249">
        <f>IF('NW - M5'!D19=0,0,IF('NW - M5'!D19&gt;=0,'NW - M5'!D19))</f>
        <v>0</v>
      </c>
      <c r="Q30" s="206" t="str">
        <f t="shared" si="7"/>
        <v/>
      </c>
      <c r="R30" s="250">
        <f t="shared" si="8"/>
        <v>0</v>
      </c>
      <c r="S30" s="249">
        <f>IF('NW - M5'!F19=0,0,IF('NW - M5'!F19&gt;=0,'NW - M5'!F19))</f>
        <v>0</v>
      </c>
      <c r="T30" s="206" t="str">
        <f t="shared" si="9"/>
        <v/>
      </c>
      <c r="U30" s="250">
        <f t="shared" si="10"/>
        <v>0</v>
      </c>
      <c r="V30" s="249">
        <f>IF('NW - M5'!E19=0,0,IF('NW - M5'!E19&gt;=0,'NW - M5'!E19))</f>
        <v>0</v>
      </c>
      <c r="W30" s="206" t="str">
        <f t="shared" si="11"/>
        <v/>
      </c>
      <c r="X30" s="250">
        <f t="shared" si="12"/>
        <v>0</v>
      </c>
      <c r="Y30" s="249">
        <f>IF('NW - M5'!I19=0,0,IF('NW - M5'!I19&gt;=0,'NW - M5'!I19))</f>
        <v>0</v>
      </c>
      <c r="Z30" s="206" t="str">
        <f t="shared" si="13"/>
        <v/>
      </c>
      <c r="AA30" s="250">
        <f t="shared" si="14"/>
        <v>0</v>
      </c>
      <c r="AB30" s="249">
        <f>IF('NW - M5'!H19=0,0,IF('NW - M5'!H19&gt;=0,'NW - M5'!H19))</f>
        <v>0</v>
      </c>
      <c r="AC30" s="206" t="str">
        <f t="shared" si="15"/>
        <v/>
      </c>
      <c r="AD30" s="1" t="str">
        <f t="shared" si="39"/>
        <v/>
      </c>
      <c r="AE30" s="1" t="str">
        <f t="shared" si="16"/>
        <v/>
      </c>
      <c r="AF30" s="1" t="str">
        <f t="shared" si="17"/>
        <v/>
      </c>
      <c r="AG30" s="1" t="str">
        <f t="shared" si="18"/>
        <v/>
      </c>
      <c r="AH30" s="1" t="str">
        <f t="shared" si="19"/>
        <v/>
      </c>
      <c r="AI30" s="1">
        <f t="shared" si="20"/>
        <v>0</v>
      </c>
      <c r="AJ30" s="106" t="b">
        <f t="shared" si="21"/>
        <v>0</v>
      </c>
      <c r="AK30" s="106" t="b">
        <f t="shared" si="22"/>
        <v>0</v>
      </c>
      <c r="AL30" s="106" t="b">
        <f t="shared" si="23"/>
        <v>0</v>
      </c>
      <c r="AM30" s="106" t="b">
        <f t="shared" si="24"/>
        <v>0</v>
      </c>
      <c r="AN30" s="106" t="b">
        <f t="shared" si="25"/>
        <v>0</v>
      </c>
      <c r="AO30" s="106" t="b">
        <f t="shared" si="40"/>
        <v>0</v>
      </c>
      <c r="AP30" s="106" t="b">
        <f t="shared" si="26"/>
        <v>0</v>
      </c>
      <c r="AQ30" s="106" t="b">
        <f t="shared" si="27"/>
        <v>0</v>
      </c>
      <c r="AR30" s="106" t="b">
        <f t="shared" si="28"/>
        <v>0</v>
      </c>
      <c r="AS30" s="106" t="b">
        <f t="shared" si="29"/>
        <v>0</v>
      </c>
      <c r="AT30" s="148" t="str">
        <f t="shared" si="41"/>
        <v/>
      </c>
      <c r="AU30" s="198" t="e">
        <f t="shared" si="30"/>
        <v>#VALUE!</v>
      </c>
      <c r="AV30" s="204" t="str">
        <f t="shared" si="31"/>
        <v/>
      </c>
      <c r="AW30" s="107" t="str">
        <f t="shared" si="32"/>
        <v/>
      </c>
      <c r="AX30" s="108"/>
      <c r="AY30" s="109" t="str">
        <f t="shared" si="33"/>
        <v/>
      </c>
      <c r="AZ30" s="110"/>
      <c r="BA30" s="111" t="str">
        <f t="shared" si="34"/>
        <v/>
      </c>
      <c r="BB30" s="112"/>
      <c r="BC30" s="113" t="str">
        <f t="shared" si="35"/>
        <v/>
      </c>
      <c r="BD30" s="114">
        <f t="shared" si="36"/>
        <v>0</v>
      </c>
      <c r="BE30" s="118"/>
      <c r="BF30" s="113" t="str">
        <f t="shared" si="37"/>
        <v/>
      </c>
      <c r="BG30" s="116">
        <f t="shared" si="38"/>
        <v>0</v>
      </c>
    </row>
    <row r="31" spans="1:59" ht="15" customHeight="1" x14ac:dyDescent="0.2">
      <c r="A31">
        <v>15</v>
      </c>
      <c r="B31" s="186">
        <f>BEGINBLAD!B20</f>
        <v>0</v>
      </c>
      <c r="C31" s="110" t="str">
        <f>IF('RIO - E4'!C31="","",IF('RIO - E4'!C31&gt;"",'RIO - E4'!C31))</f>
        <v/>
      </c>
      <c r="D31" s="149" t="str">
        <f>IF('NW - M5'!N20="","",IF('NW - M5'!N20="A+","A",IF('NW - M5'!N20="A","A",IF('NW - M5'!N20="B","B",IF('NW - M5'!N20="C","C",IF('NW - M5'!N20="C-","C",IF('NW - M5'!N20="D","D",IF('NW - M5'!N20="E","E"))))))))</f>
        <v/>
      </c>
      <c r="E31" s="110"/>
      <c r="F31" s="192" t="str">
        <f t="shared" si="0"/>
        <v/>
      </c>
      <c r="G31" s="192" t="str">
        <f t="shared" si="1"/>
        <v/>
      </c>
      <c r="H31" s="191" t="str">
        <f t="shared" si="2"/>
        <v/>
      </c>
      <c r="I31" s="193" t="str">
        <f t="shared" si="3"/>
        <v/>
      </c>
      <c r="J31" s="208" t="str">
        <f t="shared" si="4"/>
        <v/>
      </c>
      <c r="K31" s="210" t="str">
        <f t="shared" si="5"/>
        <v/>
      </c>
      <c r="L31" s="189"/>
      <c r="M31" s="110"/>
      <c r="N31" s="117"/>
      <c r="O31" s="250">
        <f t="shared" si="6"/>
        <v>0</v>
      </c>
      <c r="P31" s="249">
        <f>IF('NW - M5'!D20=0,0,IF('NW - M5'!D20&gt;=0,'NW - M5'!D20))</f>
        <v>0</v>
      </c>
      <c r="Q31" s="206" t="str">
        <f t="shared" si="7"/>
        <v/>
      </c>
      <c r="R31" s="250">
        <f t="shared" si="8"/>
        <v>0</v>
      </c>
      <c r="S31" s="249">
        <f>IF('NW - M5'!F20=0,0,IF('NW - M5'!F20&gt;=0,'NW - M5'!F20))</f>
        <v>0</v>
      </c>
      <c r="T31" s="206" t="str">
        <f t="shared" si="9"/>
        <v/>
      </c>
      <c r="U31" s="250">
        <f t="shared" si="10"/>
        <v>0</v>
      </c>
      <c r="V31" s="249">
        <f>IF('NW - M5'!E20=0,0,IF('NW - M5'!E20&gt;=0,'NW - M5'!E20))</f>
        <v>0</v>
      </c>
      <c r="W31" s="206" t="str">
        <f t="shared" si="11"/>
        <v/>
      </c>
      <c r="X31" s="250">
        <f t="shared" si="12"/>
        <v>0</v>
      </c>
      <c r="Y31" s="249">
        <f>IF('NW - M5'!I20=0,0,IF('NW - M5'!I20&gt;=0,'NW - M5'!I20))</f>
        <v>0</v>
      </c>
      <c r="Z31" s="206" t="str">
        <f t="shared" si="13"/>
        <v/>
      </c>
      <c r="AA31" s="250">
        <f t="shared" si="14"/>
        <v>0</v>
      </c>
      <c r="AB31" s="249">
        <f>IF('NW - M5'!H20=0,0,IF('NW - M5'!H20&gt;=0,'NW - M5'!H20))</f>
        <v>0</v>
      </c>
      <c r="AC31" s="206" t="str">
        <f t="shared" si="15"/>
        <v/>
      </c>
      <c r="AD31" s="1" t="str">
        <f t="shared" si="39"/>
        <v/>
      </c>
      <c r="AE31" s="1" t="str">
        <f t="shared" si="16"/>
        <v/>
      </c>
      <c r="AF31" s="1" t="str">
        <f t="shared" si="17"/>
        <v/>
      </c>
      <c r="AG31" s="1" t="str">
        <f t="shared" si="18"/>
        <v/>
      </c>
      <c r="AH31" s="1" t="str">
        <f t="shared" si="19"/>
        <v/>
      </c>
      <c r="AI31" s="1">
        <f t="shared" si="20"/>
        <v>0</v>
      </c>
      <c r="AJ31" s="106" t="b">
        <f t="shared" si="21"/>
        <v>0</v>
      </c>
      <c r="AK31" s="106" t="b">
        <f t="shared" si="22"/>
        <v>0</v>
      </c>
      <c r="AL31" s="106" t="b">
        <f t="shared" si="23"/>
        <v>0</v>
      </c>
      <c r="AM31" s="106" t="b">
        <f t="shared" si="24"/>
        <v>0</v>
      </c>
      <c r="AN31" s="106" t="b">
        <f t="shared" si="25"/>
        <v>0</v>
      </c>
      <c r="AO31" s="106" t="b">
        <f t="shared" si="40"/>
        <v>0</v>
      </c>
      <c r="AP31" s="106" t="b">
        <f t="shared" si="26"/>
        <v>0</v>
      </c>
      <c r="AQ31" s="106" t="b">
        <f t="shared" si="27"/>
        <v>0</v>
      </c>
      <c r="AR31" s="106" t="b">
        <f t="shared" si="28"/>
        <v>0</v>
      </c>
      <c r="AS31" s="106" t="b">
        <f t="shared" si="29"/>
        <v>0</v>
      </c>
      <c r="AT31" s="148" t="str">
        <f t="shared" si="41"/>
        <v/>
      </c>
      <c r="AU31" s="198" t="e">
        <f t="shared" si="30"/>
        <v>#VALUE!</v>
      </c>
      <c r="AV31" s="204" t="str">
        <f t="shared" si="31"/>
        <v/>
      </c>
      <c r="AW31" s="107" t="str">
        <f t="shared" si="32"/>
        <v/>
      </c>
      <c r="AX31" s="108"/>
      <c r="AY31" s="109" t="str">
        <f t="shared" si="33"/>
        <v/>
      </c>
      <c r="AZ31" s="110"/>
      <c r="BA31" s="111" t="str">
        <f t="shared" si="34"/>
        <v/>
      </c>
      <c r="BB31" s="112"/>
      <c r="BC31" s="113" t="str">
        <f t="shared" si="35"/>
        <v/>
      </c>
      <c r="BD31" s="114">
        <f t="shared" si="36"/>
        <v>0</v>
      </c>
      <c r="BE31" s="118"/>
      <c r="BF31" s="113" t="str">
        <f t="shared" si="37"/>
        <v/>
      </c>
      <c r="BG31" s="116">
        <f t="shared" si="38"/>
        <v>0</v>
      </c>
    </row>
    <row r="32" spans="1:59" ht="15" customHeight="1" x14ac:dyDescent="0.2">
      <c r="A32">
        <v>16</v>
      </c>
      <c r="B32" s="187">
        <f>BEGINBLAD!B21</f>
        <v>0</v>
      </c>
      <c r="C32" s="110" t="str">
        <f>IF('RIO - E4'!C32="","",IF('RIO - E4'!C32&gt;"",'RIO - E4'!C32))</f>
        <v/>
      </c>
      <c r="D32" s="149" t="str">
        <f>IF('NW - M5'!N21="","",IF('NW - M5'!N21="A+","A",IF('NW - M5'!N21="A","A",IF('NW - M5'!N21="B","B",IF('NW - M5'!N21="C","C",IF('NW - M5'!N21="C-","C",IF('NW - M5'!N21="D","D",IF('NW - M5'!N21="E","E"))))))))</f>
        <v/>
      </c>
      <c r="E32" s="110"/>
      <c r="F32" s="192" t="str">
        <f t="shared" si="0"/>
        <v/>
      </c>
      <c r="G32" s="192" t="str">
        <f t="shared" si="1"/>
        <v/>
      </c>
      <c r="H32" s="191" t="str">
        <f t="shared" si="2"/>
        <v/>
      </c>
      <c r="I32" s="193" t="str">
        <f t="shared" si="3"/>
        <v/>
      </c>
      <c r="J32" s="208" t="str">
        <f t="shared" si="4"/>
        <v/>
      </c>
      <c r="K32" s="210" t="str">
        <f t="shared" si="5"/>
        <v/>
      </c>
      <c r="L32" s="189"/>
      <c r="M32" s="110"/>
      <c r="N32" s="117"/>
      <c r="O32" s="250">
        <f t="shared" si="6"/>
        <v>0</v>
      </c>
      <c r="P32" s="249">
        <f>IF('NW - M5'!D21=0,0,IF('NW - M5'!D21&gt;=0,'NW - M5'!D21))</f>
        <v>0</v>
      </c>
      <c r="Q32" s="206" t="str">
        <f t="shared" si="7"/>
        <v/>
      </c>
      <c r="R32" s="250">
        <f t="shared" si="8"/>
        <v>0</v>
      </c>
      <c r="S32" s="249">
        <f>IF('NW - M5'!F21=0,0,IF('NW - M5'!F21&gt;=0,'NW - M5'!F21))</f>
        <v>0</v>
      </c>
      <c r="T32" s="206" t="str">
        <f t="shared" si="9"/>
        <v/>
      </c>
      <c r="U32" s="250">
        <f t="shared" si="10"/>
        <v>0</v>
      </c>
      <c r="V32" s="249">
        <f>IF('NW - M5'!E21=0,0,IF('NW - M5'!E21&gt;=0,'NW - M5'!E21))</f>
        <v>0</v>
      </c>
      <c r="W32" s="206" t="str">
        <f t="shared" si="11"/>
        <v/>
      </c>
      <c r="X32" s="250">
        <f t="shared" si="12"/>
        <v>0</v>
      </c>
      <c r="Y32" s="249">
        <f>IF('NW - M5'!I21=0,0,IF('NW - M5'!I21&gt;=0,'NW - M5'!I21))</f>
        <v>0</v>
      </c>
      <c r="Z32" s="206" t="str">
        <f t="shared" si="13"/>
        <v/>
      </c>
      <c r="AA32" s="250">
        <f t="shared" si="14"/>
        <v>0</v>
      </c>
      <c r="AB32" s="249">
        <f>IF('NW - M5'!H21=0,0,IF('NW - M5'!H21&gt;=0,'NW - M5'!H21))</f>
        <v>0</v>
      </c>
      <c r="AC32" s="206" t="str">
        <f t="shared" si="15"/>
        <v/>
      </c>
      <c r="AD32" s="1" t="str">
        <f t="shared" si="39"/>
        <v/>
      </c>
      <c r="AE32" s="1" t="str">
        <f t="shared" si="16"/>
        <v/>
      </c>
      <c r="AF32" s="1" t="str">
        <f t="shared" si="17"/>
        <v/>
      </c>
      <c r="AG32" s="1" t="str">
        <f t="shared" si="18"/>
        <v/>
      </c>
      <c r="AH32" s="1" t="str">
        <f t="shared" si="19"/>
        <v/>
      </c>
      <c r="AI32" s="1">
        <f t="shared" si="20"/>
        <v>0</v>
      </c>
      <c r="AJ32" s="106" t="b">
        <f t="shared" si="21"/>
        <v>0</v>
      </c>
      <c r="AK32" s="106" t="b">
        <f t="shared" si="22"/>
        <v>0</v>
      </c>
      <c r="AL32" s="106" t="b">
        <f t="shared" si="23"/>
        <v>0</v>
      </c>
      <c r="AM32" s="106" t="b">
        <f t="shared" si="24"/>
        <v>0</v>
      </c>
      <c r="AN32" s="106" t="b">
        <f t="shared" si="25"/>
        <v>0</v>
      </c>
      <c r="AO32" s="106" t="b">
        <f t="shared" si="40"/>
        <v>0</v>
      </c>
      <c r="AP32" s="106" t="b">
        <f t="shared" si="26"/>
        <v>0</v>
      </c>
      <c r="AQ32" s="106" t="b">
        <f t="shared" si="27"/>
        <v>0</v>
      </c>
      <c r="AR32" s="106" t="b">
        <f t="shared" si="28"/>
        <v>0</v>
      </c>
      <c r="AS32" s="106" t="b">
        <f t="shared" si="29"/>
        <v>0</v>
      </c>
      <c r="AT32" s="148" t="str">
        <f t="shared" si="41"/>
        <v/>
      </c>
      <c r="AU32" s="198" t="e">
        <f t="shared" si="30"/>
        <v>#VALUE!</v>
      </c>
      <c r="AV32" s="204" t="str">
        <f t="shared" si="31"/>
        <v/>
      </c>
      <c r="AW32" s="107" t="str">
        <f t="shared" si="32"/>
        <v/>
      </c>
      <c r="AX32" s="108"/>
      <c r="AY32" s="109" t="str">
        <f t="shared" si="33"/>
        <v/>
      </c>
      <c r="AZ32" s="110"/>
      <c r="BA32" s="111" t="str">
        <f t="shared" si="34"/>
        <v/>
      </c>
      <c r="BB32" s="112"/>
      <c r="BC32" s="113" t="str">
        <f t="shared" si="35"/>
        <v/>
      </c>
      <c r="BD32" s="114">
        <f t="shared" si="36"/>
        <v>0</v>
      </c>
      <c r="BE32" s="118"/>
      <c r="BF32" s="113" t="str">
        <f t="shared" si="37"/>
        <v/>
      </c>
      <c r="BG32" s="116">
        <f t="shared" si="38"/>
        <v>0</v>
      </c>
    </row>
    <row r="33" spans="1:59" ht="15" customHeight="1" x14ac:dyDescent="0.2">
      <c r="A33">
        <v>17</v>
      </c>
      <c r="B33" s="187">
        <f>BEGINBLAD!B22</f>
        <v>0</v>
      </c>
      <c r="C33" s="110" t="str">
        <f>IF('RIO - E4'!C33="","",IF('RIO - E4'!C33&gt;"",'RIO - E4'!C33))</f>
        <v/>
      </c>
      <c r="D33" s="149" t="str">
        <f>IF('NW - M5'!N22="","",IF('NW - M5'!N22="A+","A",IF('NW - M5'!N22="A","A",IF('NW - M5'!N22="B","B",IF('NW - M5'!N22="C","C",IF('NW - M5'!N22="C-","C",IF('NW - M5'!N22="D","D",IF('NW - M5'!N22="E","E"))))))))</f>
        <v/>
      </c>
      <c r="E33" s="110"/>
      <c r="F33" s="192" t="str">
        <f t="shared" si="0"/>
        <v/>
      </c>
      <c r="G33" s="192" t="str">
        <f t="shared" si="1"/>
        <v/>
      </c>
      <c r="H33" s="191" t="str">
        <f t="shared" si="2"/>
        <v/>
      </c>
      <c r="I33" s="193" t="str">
        <f t="shared" si="3"/>
        <v/>
      </c>
      <c r="J33" s="208" t="str">
        <f t="shared" si="4"/>
        <v/>
      </c>
      <c r="K33" s="210" t="str">
        <f t="shared" si="5"/>
        <v/>
      </c>
      <c r="L33" s="189"/>
      <c r="M33" s="110"/>
      <c r="N33" s="117"/>
      <c r="O33" s="250">
        <f t="shared" si="6"/>
        <v>0</v>
      </c>
      <c r="P33" s="249">
        <f>IF('NW - M5'!D22=0,0,IF('NW - M5'!D22&gt;=0,'NW - M5'!D22))</f>
        <v>0</v>
      </c>
      <c r="Q33" s="206" t="str">
        <f t="shared" si="7"/>
        <v/>
      </c>
      <c r="R33" s="250">
        <f t="shared" si="8"/>
        <v>0</v>
      </c>
      <c r="S33" s="249">
        <f>IF('NW - M5'!F22=0,0,IF('NW - M5'!F22&gt;=0,'NW - M5'!F22))</f>
        <v>0</v>
      </c>
      <c r="T33" s="206" t="str">
        <f t="shared" si="9"/>
        <v/>
      </c>
      <c r="U33" s="250">
        <f t="shared" si="10"/>
        <v>0</v>
      </c>
      <c r="V33" s="249">
        <f>IF('NW - M5'!E22=0,0,IF('NW - M5'!E22&gt;=0,'NW - M5'!E22))</f>
        <v>0</v>
      </c>
      <c r="W33" s="206" t="str">
        <f t="shared" si="11"/>
        <v/>
      </c>
      <c r="X33" s="250">
        <f t="shared" si="12"/>
        <v>0</v>
      </c>
      <c r="Y33" s="249">
        <f>IF('NW - M5'!I22=0,0,IF('NW - M5'!I22&gt;=0,'NW - M5'!I22))</f>
        <v>0</v>
      </c>
      <c r="Z33" s="206" t="str">
        <f t="shared" si="13"/>
        <v/>
      </c>
      <c r="AA33" s="250">
        <f t="shared" si="14"/>
        <v>0</v>
      </c>
      <c r="AB33" s="249">
        <f>IF('NW - M5'!H22=0,0,IF('NW - M5'!H22&gt;=0,'NW - M5'!H22))</f>
        <v>0</v>
      </c>
      <c r="AC33" s="206" t="str">
        <f t="shared" si="15"/>
        <v/>
      </c>
      <c r="AD33" s="1" t="str">
        <f t="shared" si="39"/>
        <v/>
      </c>
      <c r="AE33" s="1" t="str">
        <f t="shared" si="16"/>
        <v/>
      </c>
      <c r="AF33" s="1" t="str">
        <f t="shared" si="17"/>
        <v/>
      </c>
      <c r="AG33" s="1" t="str">
        <f t="shared" si="18"/>
        <v/>
      </c>
      <c r="AH33" s="1" t="str">
        <f t="shared" si="19"/>
        <v/>
      </c>
      <c r="AI33" s="1">
        <f t="shared" si="20"/>
        <v>0</v>
      </c>
      <c r="AJ33" s="106" t="b">
        <f t="shared" si="21"/>
        <v>0</v>
      </c>
      <c r="AK33" s="106" t="b">
        <f t="shared" si="22"/>
        <v>0</v>
      </c>
      <c r="AL33" s="106" t="b">
        <f t="shared" si="23"/>
        <v>0</v>
      </c>
      <c r="AM33" s="106" t="b">
        <f t="shared" si="24"/>
        <v>0</v>
      </c>
      <c r="AN33" s="106" t="b">
        <f t="shared" si="25"/>
        <v>0</v>
      </c>
      <c r="AO33" s="106" t="b">
        <f t="shared" si="40"/>
        <v>0</v>
      </c>
      <c r="AP33" s="106" t="b">
        <f t="shared" si="26"/>
        <v>0</v>
      </c>
      <c r="AQ33" s="106" t="b">
        <f t="shared" si="27"/>
        <v>0</v>
      </c>
      <c r="AR33" s="106" t="b">
        <f t="shared" si="28"/>
        <v>0</v>
      </c>
      <c r="AS33" s="106" t="b">
        <f t="shared" si="29"/>
        <v>0</v>
      </c>
      <c r="AT33" s="148" t="str">
        <f t="shared" si="41"/>
        <v/>
      </c>
      <c r="AU33" s="198" t="e">
        <f t="shared" si="30"/>
        <v>#VALUE!</v>
      </c>
      <c r="AV33" s="204" t="str">
        <f t="shared" si="31"/>
        <v/>
      </c>
      <c r="AW33" s="107" t="str">
        <f t="shared" si="32"/>
        <v/>
      </c>
      <c r="AX33" s="108"/>
      <c r="AY33" s="109" t="str">
        <f t="shared" si="33"/>
        <v/>
      </c>
      <c r="AZ33" s="110"/>
      <c r="BA33" s="111" t="str">
        <f t="shared" si="34"/>
        <v/>
      </c>
      <c r="BB33" s="112"/>
      <c r="BC33" s="113" t="str">
        <f t="shared" si="35"/>
        <v/>
      </c>
      <c r="BD33" s="114">
        <f t="shared" si="36"/>
        <v>0</v>
      </c>
      <c r="BE33" s="118"/>
      <c r="BF33" s="113" t="str">
        <f t="shared" si="37"/>
        <v/>
      </c>
      <c r="BG33" s="116">
        <f t="shared" si="38"/>
        <v>0</v>
      </c>
    </row>
    <row r="34" spans="1:59" ht="15" customHeight="1" x14ac:dyDescent="0.2">
      <c r="A34">
        <v>18</v>
      </c>
      <c r="B34" s="187">
        <f>BEGINBLAD!B23</f>
        <v>0</v>
      </c>
      <c r="C34" s="110" t="str">
        <f>IF('RIO - E4'!C34="","",IF('RIO - E4'!C34&gt;"",'RIO - E4'!C34))</f>
        <v/>
      </c>
      <c r="D34" s="149" t="str">
        <f>IF('NW - M5'!N23="","",IF('NW - M5'!N23="A+","A",IF('NW - M5'!N23="A","A",IF('NW - M5'!N23="B","B",IF('NW - M5'!N23="C","C",IF('NW - M5'!N23="C-","C",IF('NW - M5'!N23="D","D",IF('NW - M5'!N23="E","E"))))))))</f>
        <v/>
      </c>
      <c r="E34" s="110"/>
      <c r="F34" s="192" t="str">
        <f t="shared" si="0"/>
        <v/>
      </c>
      <c r="G34" s="192" t="str">
        <f t="shared" si="1"/>
        <v/>
      </c>
      <c r="H34" s="191" t="str">
        <f t="shared" si="2"/>
        <v/>
      </c>
      <c r="I34" s="193" t="str">
        <f t="shared" si="3"/>
        <v/>
      </c>
      <c r="J34" s="208" t="str">
        <f t="shared" si="4"/>
        <v/>
      </c>
      <c r="K34" s="210" t="str">
        <f t="shared" si="5"/>
        <v/>
      </c>
      <c r="L34" s="189"/>
      <c r="M34" s="110"/>
      <c r="N34" s="117"/>
      <c r="O34" s="250">
        <f t="shared" si="6"/>
        <v>0</v>
      </c>
      <c r="P34" s="249">
        <f>IF('NW - M5'!D23=0,0,IF('NW - M5'!D23&gt;=0,'NW - M5'!D23))</f>
        <v>0</v>
      </c>
      <c r="Q34" s="206" t="str">
        <f t="shared" si="7"/>
        <v/>
      </c>
      <c r="R34" s="250">
        <f t="shared" si="8"/>
        <v>0</v>
      </c>
      <c r="S34" s="249">
        <f>IF('NW - M5'!F23=0,0,IF('NW - M5'!F23&gt;=0,'NW - M5'!F23))</f>
        <v>0</v>
      </c>
      <c r="T34" s="206" t="str">
        <f t="shared" si="9"/>
        <v/>
      </c>
      <c r="U34" s="250">
        <f t="shared" si="10"/>
        <v>0</v>
      </c>
      <c r="V34" s="249">
        <f>IF('NW - M5'!E23=0,0,IF('NW - M5'!E23&gt;=0,'NW - M5'!E23))</f>
        <v>0</v>
      </c>
      <c r="W34" s="206" t="str">
        <f t="shared" si="11"/>
        <v/>
      </c>
      <c r="X34" s="250">
        <f t="shared" si="12"/>
        <v>0</v>
      </c>
      <c r="Y34" s="249">
        <f>IF('NW - M5'!I23=0,0,IF('NW - M5'!I23&gt;=0,'NW - M5'!I23))</f>
        <v>0</v>
      </c>
      <c r="Z34" s="206" t="str">
        <f t="shared" si="13"/>
        <v/>
      </c>
      <c r="AA34" s="250">
        <f t="shared" si="14"/>
        <v>0</v>
      </c>
      <c r="AB34" s="249">
        <f>IF('NW - M5'!H23=0,0,IF('NW - M5'!H23&gt;=0,'NW - M5'!H23))</f>
        <v>0</v>
      </c>
      <c r="AC34" s="206" t="str">
        <f t="shared" si="15"/>
        <v/>
      </c>
      <c r="AD34" s="1" t="str">
        <f t="shared" si="39"/>
        <v/>
      </c>
      <c r="AE34" s="1" t="str">
        <f t="shared" si="16"/>
        <v/>
      </c>
      <c r="AF34" s="1" t="str">
        <f t="shared" si="17"/>
        <v/>
      </c>
      <c r="AG34" s="1" t="str">
        <f t="shared" si="18"/>
        <v/>
      </c>
      <c r="AH34" s="1" t="str">
        <f t="shared" si="19"/>
        <v/>
      </c>
      <c r="AI34" s="1">
        <f t="shared" si="20"/>
        <v>0</v>
      </c>
      <c r="AJ34" s="106" t="b">
        <f t="shared" si="21"/>
        <v>0</v>
      </c>
      <c r="AK34" s="106" t="b">
        <f t="shared" si="22"/>
        <v>0</v>
      </c>
      <c r="AL34" s="106" t="b">
        <f t="shared" si="23"/>
        <v>0</v>
      </c>
      <c r="AM34" s="106" t="b">
        <f t="shared" si="24"/>
        <v>0</v>
      </c>
      <c r="AN34" s="106" t="b">
        <f t="shared" si="25"/>
        <v>0</v>
      </c>
      <c r="AO34" s="106" t="b">
        <f t="shared" si="40"/>
        <v>0</v>
      </c>
      <c r="AP34" s="106" t="b">
        <f t="shared" si="26"/>
        <v>0</v>
      </c>
      <c r="AQ34" s="106" t="b">
        <f t="shared" si="27"/>
        <v>0</v>
      </c>
      <c r="AR34" s="106" t="b">
        <f t="shared" si="28"/>
        <v>0</v>
      </c>
      <c r="AS34" s="106" t="b">
        <f t="shared" si="29"/>
        <v>0</v>
      </c>
      <c r="AT34" s="148" t="str">
        <f t="shared" si="41"/>
        <v/>
      </c>
      <c r="AU34" s="198" t="e">
        <f t="shared" si="30"/>
        <v>#VALUE!</v>
      </c>
      <c r="AV34" s="204" t="str">
        <f t="shared" si="31"/>
        <v/>
      </c>
      <c r="AW34" s="107" t="str">
        <f t="shared" si="32"/>
        <v/>
      </c>
      <c r="AX34" s="108"/>
      <c r="AY34" s="109" t="str">
        <f t="shared" si="33"/>
        <v/>
      </c>
      <c r="AZ34" s="110"/>
      <c r="BA34" s="111" t="str">
        <f t="shared" si="34"/>
        <v/>
      </c>
      <c r="BB34" s="112"/>
      <c r="BC34" s="113" t="str">
        <f t="shared" si="35"/>
        <v/>
      </c>
      <c r="BD34" s="114">
        <f t="shared" si="36"/>
        <v>0</v>
      </c>
      <c r="BE34" s="118"/>
      <c r="BF34" s="113" t="str">
        <f t="shared" si="37"/>
        <v/>
      </c>
      <c r="BG34" s="116">
        <f t="shared" si="38"/>
        <v>0</v>
      </c>
    </row>
    <row r="35" spans="1:59" ht="15" customHeight="1" x14ac:dyDescent="0.2">
      <c r="A35">
        <v>19</v>
      </c>
      <c r="B35" s="187">
        <f>BEGINBLAD!B24</f>
        <v>0</v>
      </c>
      <c r="C35" s="110" t="str">
        <f>IF('RIO - E4'!C35="","",IF('RIO - E4'!C35&gt;"",'RIO - E4'!C35))</f>
        <v/>
      </c>
      <c r="D35" s="149" t="str">
        <f>IF('NW - M5'!N24="","",IF('NW - M5'!N24="A+","A",IF('NW - M5'!N24="A","A",IF('NW - M5'!N24="B","B",IF('NW - M5'!N24="C","C",IF('NW - M5'!N24="C-","C",IF('NW - M5'!N24="D","D",IF('NW - M5'!N24="E","E"))))))))</f>
        <v/>
      </c>
      <c r="E35" s="110"/>
      <c r="F35" s="192" t="str">
        <f t="shared" si="0"/>
        <v/>
      </c>
      <c r="G35" s="192" t="str">
        <f t="shared" si="1"/>
        <v/>
      </c>
      <c r="H35" s="191" t="str">
        <f t="shared" si="2"/>
        <v/>
      </c>
      <c r="I35" s="193" t="str">
        <f t="shared" si="3"/>
        <v/>
      </c>
      <c r="J35" s="208" t="str">
        <f t="shared" si="4"/>
        <v/>
      </c>
      <c r="K35" s="210" t="str">
        <f t="shared" si="5"/>
        <v/>
      </c>
      <c r="L35" s="189"/>
      <c r="M35" s="110"/>
      <c r="N35" s="117"/>
      <c r="O35" s="250">
        <f t="shared" si="6"/>
        <v>0</v>
      </c>
      <c r="P35" s="249">
        <f>IF('NW - M5'!D24=0,0,IF('NW - M5'!D24&gt;=0,'NW - M5'!D24))</f>
        <v>0</v>
      </c>
      <c r="Q35" s="206" t="str">
        <f t="shared" si="7"/>
        <v/>
      </c>
      <c r="R35" s="250">
        <f t="shared" si="8"/>
        <v>0</v>
      </c>
      <c r="S35" s="249">
        <f>IF('NW - M5'!F24=0,0,IF('NW - M5'!F24&gt;=0,'NW - M5'!F24))</f>
        <v>0</v>
      </c>
      <c r="T35" s="206" t="str">
        <f t="shared" si="9"/>
        <v/>
      </c>
      <c r="U35" s="250">
        <f t="shared" si="10"/>
        <v>0</v>
      </c>
      <c r="V35" s="249">
        <f>IF('NW - M5'!E24=0,0,IF('NW - M5'!E24&gt;=0,'NW - M5'!E24))</f>
        <v>0</v>
      </c>
      <c r="W35" s="206" t="str">
        <f t="shared" si="11"/>
        <v/>
      </c>
      <c r="X35" s="250">
        <f t="shared" si="12"/>
        <v>0</v>
      </c>
      <c r="Y35" s="249">
        <f>IF('NW - M5'!I24=0,0,IF('NW - M5'!I24&gt;=0,'NW - M5'!I24))</f>
        <v>0</v>
      </c>
      <c r="Z35" s="206" t="str">
        <f t="shared" si="13"/>
        <v/>
      </c>
      <c r="AA35" s="250">
        <f t="shared" si="14"/>
        <v>0</v>
      </c>
      <c r="AB35" s="249">
        <f>IF('NW - M5'!H24=0,0,IF('NW - M5'!H24&gt;=0,'NW - M5'!H24))</f>
        <v>0</v>
      </c>
      <c r="AC35" s="206" t="str">
        <f t="shared" si="15"/>
        <v/>
      </c>
      <c r="AD35" s="1" t="str">
        <f t="shared" si="39"/>
        <v/>
      </c>
      <c r="AE35" s="1" t="str">
        <f t="shared" si="16"/>
        <v/>
      </c>
      <c r="AF35" s="1" t="str">
        <f t="shared" si="17"/>
        <v/>
      </c>
      <c r="AG35" s="1" t="str">
        <f t="shared" si="18"/>
        <v/>
      </c>
      <c r="AH35" s="1" t="str">
        <f t="shared" si="19"/>
        <v/>
      </c>
      <c r="AI35" s="1">
        <f t="shared" si="20"/>
        <v>0</v>
      </c>
      <c r="AJ35" s="106" t="b">
        <f t="shared" si="21"/>
        <v>0</v>
      </c>
      <c r="AK35" s="106" t="b">
        <f t="shared" si="22"/>
        <v>0</v>
      </c>
      <c r="AL35" s="106" t="b">
        <f t="shared" si="23"/>
        <v>0</v>
      </c>
      <c r="AM35" s="106" t="b">
        <f t="shared" si="24"/>
        <v>0</v>
      </c>
      <c r="AN35" s="106" t="b">
        <f t="shared" si="25"/>
        <v>0</v>
      </c>
      <c r="AO35" s="106" t="b">
        <f t="shared" si="40"/>
        <v>0</v>
      </c>
      <c r="AP35" s="106" t="b">
        <f t="shared" si="26"/>
        <v>0</v>
      </c>
      <c r="AQ35" s="106" t="b">
        <f t="shared" si="27"/>
        <v>0</v>
      </c>
      <c r="AR35" s="106" t="b">
        <f t="shared" si="28"/>
        <v>0</v>
      </c>
      <c r="AS35" s="106" t="b">
        <f t="shared" si="29"/>
        <v>0</v>
      </c>
      <c r="AT35" s="148" t="str">
        <f t="shared" si="41"/>
        <v/>
      </c>
      <c r="AU35" s="198" t="e">
        <f t="shared" si="30"/>
        <v>#VALUE!</v>
      </c>
      <c r="AV35" s="204" t="str">
        <f t="shared" si="31"/>
        <v/>
      </c>
      <c r="AW35" s="107" t="str">
        <f t="shared" si="32"/>
        <v/>
      </c>
      <c r="AX35" s="108"/>
      <c r="AY35" s="109" t="str">
        <f t="shared" si="33"/>
        <v/>
      </c>
      <c r="AZ35" s="110"/>
      <c r="BA35" s="111" t="str">
        <f t="shared" si="34"/>
        <v/>
      </c>
      <c r="BB35" s="112"/>
      <c r="BC35" s="113" t="str">
        <f t="shared" si="35"/>
        <v/>
      </c>
      <c r="BD35" s="114">
        <f t="shared" si="36"/>
        <v>0</v>
      </c>
      <c r="BE35" s="118"/>
      <c r="BF35" s="113" t="str">
        <f t="shared" si="37"/>
        <v/>
      </c>
      <c r="BG35" s="116">
        <f t="shared" si="38"/>
        <v>0</v>
      </c>
    </row>
    <row r="36" spans="1:59" ht="15" customHeight="1" x14ac:dyDescent="0.2">
      <c r="A36">
        <v>20</v>
      </c>
      <c r="B36" s="187">
        <f>BEGINBLAD!B25</f>
        <v>0</v>
      </c>
      <c r="C36" s="110" t="str">
        <f>IF('RIO - E4'!C36="","",IF('RIO - E4'!C36&gt;"",'RIO - E4'!C36))</f>
        <v/>
      </c>
      <c r="D36" s="149" t="str">
        <f>IF('NW - M5'!N25="","",IF('NW - M5'!N25="A+","A",IF('NW - M5'!N25="A","A",IF('NW - M5'!N25="B","B",IF('NW - M5'!N25="C","C",IF('NW - M5'!N25="C-","C",IF('NW - M5'!N25="D","D",IF('NW - M5'!N25="E","E"))))))))</f>
        <v/>
      </c>
      <c r="E36" s="110"/>
      <c r="F36" s="192" t="str">
        <f t="shared" si="0"/>
        <v/>
      </c>
      <c r="G36" s="192" t="str">
        <f t="shared" si="1"/>
        <v/>
      </c>
      <c r="H36" s="191" t="str">
        <f t="shared" si="2"/>
        <v/>
      </c>
      <c r="I36" s="193" t="str">
        <f t="shared" si="3"/>
        <v/>
      </c>
      <c r="J36" s="208" t="str">
        <f t="shared" si="4"/>
        <v/>
      </c>
      <c r="K36" s="210" t="str">
        <f t="shared" si="5"/>
        <v/>
      </c>
      <c r="L36" s="189"/>
      <c r="M36" s="110"/>
      <c r="N36" s="117"/>
      <c r="O36" s="250">
        <f t="shared" si="6"/>
        <v>0</v>
      </c>
      <c r="P36" s="249">
        <f>IF('NW - M5'!D25=0,0,IF('NW - M5'!D25&gt;=0,'NW - M5'!D25))</f>
        <v>0</v>
      </c>
      <c r="Q36" s="206" t="str">
        <f t="shared" si="7"/>
        <v/>
      </c>
      <c r="R36" s="250">
        <f t="shared" si="8"/>
        <v>0</v>
      </c>
      <c r="S36" s="249">
        <f>IF('NW - M5'!F25=0,0,IF('NW - M5'!F25&gt;=0,'NW - M5'!F25))</f>
        <v>0</v>
      </c>
      <c r="T36" s="206" t="str">
        <f t="shared" si="9"/>
        <v/>
      </c>
      <c r="U36" s="250">
        <f t="shared" si="10"/>
        <v>0</v>
      </c>
      <c r="V36" s="249">
        <f>IF('NW - M5'!E25=0,0,IF('NW - M5'!E25&gt;=0,'NW - M5'!E25))</f>
        <v>0</v>
      </c>
      <c r="W36" s="206" t="str">
        <f t="shared" si="11"/>
        <v/>
      </c>
      <c r="X36" s="250">
        <f t="shared" si="12"/>
        <v>0</v>
      </c>
      <c r="Y36" s="249">
        <f>IF('NW - M5'!I25=0,0,IF('NW - M5'!I25&gt;=0,'NW - M5'!I25))</f>
        <v>0</v>
      </c>
      <c r="Z36" s="206" t="str">
        <f t="shared" si="13"/>
        <v/>
      </c>
      <c r="AA36" s="250">
        <f t="shared" si="14"/>
        <v>0</v>
      </c>
      <c r="AB36" s="249">
        <f>IF('NW - M5'!H25=0,0,IF('NW - M5'!H25&gt;=0,'NW - M5'!H25))</f>
        <v>0</v>
      </c>
      <c r="AC36" s="206" t="str">
        <f t="shared" si="15"/>
        <v/>
      </c>
      <c r="AD36" s="1" t="str">
        <f t="shared" si="39"/>
        <v/>
      </c>
      <c r="AE36" s="1" t="str">
        <f t="shared" si="16"/>
        <v/>
      </c>
      <c r="AF36" s="1" t="str">
        <f t="shared" si="17"/>
        <v/>
      </c>
      <c r="AG36" s="1" t="str">
        <f t="shared" si="18"/>
        <v/>
      </c>
      <c r="AH36" s="1" t="str">
        <f t="shared" si="19"/>
        <v/>
      </c>
      <c r="AI36" s="1">
        <f t="shared" si="20"/>
        <v>0</v>
      </c>
      <c r="AJ36" s="106" t="b">
        <f t="shared" si="21"/>
        <v>0</v>
      </c>
      <c r="AK36" s="106" t="b">
        <f t="shared" si="22"/>
        <v>0</v>
      </c>
      <c r="AL36" s="106" t="b">
        <f t="shared" si="23"/>
        <v>0</v>
      </c>
      <c r="AM36" s="106" t="b">
        <f t="shared" si="24"/>
        <v>0</v>
      </c>
      <c r="AN36" s="106" t="b">
        <f t="shared" si="25"/>
        <v>0</v>
      </c>
      <c r="AO36" s="106" t="b">
        <f t="shared" si="40"/>
        <v>0</v>
      </c>
      <c r="AP36" s="106" t="b">
        <f t="shared" si="26"/>
        <v>0</v>
      </c>
      <c r="AQ36" s="106" t="b">
        <f t="shared" si="27"/>
        <v>0</v>
      </c>
      <c r="AR36" s="106" t="b">
        <f t="shared" si="28"/>
        <v>0</v>
      </c>
      <c r="AS36" s="106" t="b">
        <f t="shared" si="29"/>
        <v>0</v>
      </c>
      <c r="AT36" s="148" t="str">
        <f t="shared" si="41"/>
        <v/>
      </c>
      <c r="AU36" s="198" t="e">
        <f t="shared" si="30"/>
        <v>#VALUE!</v>
      </c>
      <c r="AV36" s="204" t="str">
        <f t="shared" si="31"/>
        <v/>
      </c>
      <c r="AW36" s="107" t="str">
        <f t="shared" si="32"/>
        <v/>
      </c>
      <c r="AX36" s="108"/>
      <c r="AY36" s="109" t="str">
        <f t="shared" si="33"/>
        <v/>
      </c>
      <c r="AZ36" s="110"/>
      <c r="BA36" s="111" t="str">
        <f t="shared" si="34"/>
        <v/>
      </c>
      <c r="BB36" s="112"/>
      <c r="BC36" s="113" t="str">
        <f t="shared" si="35"/>
        <v/>
      </c>
      <c r="BD36" s="114">
        <f t="shared" si="36"/>
        <v>0</v>
      </c>
      <c r="BE36" s="118"/>
      <c r="BF36" s="113" t="str">
        <f t="shared" si="37"/>
        <v/>
      </c>
      <c r="BG36" s="116">
        <f t="shared" si="38"/>
        <v>0</v>
      </c>
    </row>
    <row r="37" spans="1:59" ht="15" customHeight="1" x14ac:dyDescent="0.2">
      <c r="A37">
        <v>21</v>
      </c>
      <c r="B37" s="187">
        <f>BEGINBLAD!B26</f>
        <v>0</v>
      </c>
      <c r="C37" s="110" t="str">
        <f>IF('RIO - E4'!C37="","",IF('RIO - E4'!C37&gt;"",'RIO - E4'!C37))</f>
        <v/>
      </c>
      <c r="D37" s="149" t="str">
        <f>IF('NW - M5'!N26="","",IF('NW - M5'!N26="A+","A",IF('NW - M5'!N26="A","A",IF('NW - M5'!N26="B","B",IF('NW - M5'!N26="C","C",IF('NW - M5'!N26="C-","C",IF('NW - M5'!N26="D","D",IF('NW - M5'!N26="E","E"))))))))</f>
        <v/>
      </c>
      <c r="E37" s="110"/>
      <c r="F37" s="192" t="str">
        <f t="shared" si="0"/>
        <v/>
      </c>
      <c r="G37" s="192" t="str">
        <f t="shared" si="1"/>
        <v/>
      </c>
      <c r="H37" s="191" t="str">
        <f t="shared" si="2"/>
        <v/>
      </c>
      <c r="I37" s="193" t="str">
        <f t="shared" si="3"/>
        <v/>
      </c>
      <c r="J37" s="208" t="str">
        <f t="shared" si="4"/>
        <v/>
      </c>
      <c r="K37" s="210" t="str">
        <f t="shared" si="5"/>
        <v/>
      </c>
      <c r="L37" s="189"/>
      <c r="M37" s="110"/>
      <c r="N37" s="117"/>
      <c r="O37" s="250">
        <f t="shared" si="6"/>
        <v>0</v>
      </c>
      <c r="P37" s="249">
        <f>IF('NW - M5'!D26=0,0,IF('NW - M5'!D26&gt;=0,'NW - M5'!D26))</f>
        <v>0</v>
      </c>
      <c r="Q37" s="206" t="str">
        <f t="shared" si="7"/>
        <v/>
      </c>
      <c r="R37" s="250">
        <f t="shared" si="8"/>
        <v>0</v>
      </c>
      <c r="S37" s="249">
        <f>IF('NW - M5'!F26=0,0,IF('NW - M5'!F26&gt;=0,'NW - M5'!F26))</f>
        <v>0</v>
      </c>
      <c r="T37" s="206" t="str">
        <f t="shared" si="9"/>
        <v/>
      </c>
      <c r="U37" s="250">
        <f t="shared" si="10"/>
        <v>0</v>
      </c>
      <c r="V37" s="249">
        <f>IF('NW - M5'!E26=0,0,IF('NW - M5'!E26&gt;=0,'NW - M5'!E26))</f>
        <v>0</v>
      </c>
      <c r="W37" s="206" t="str">
        <f t="shared" si="11"/>
        <v/>
      </c>
      <c r="X37" s="250">
        <f t="shared" si="12"/>
        <v>0</v>
      </c>
      <c r="Y37" s="249">
        <f>IF('NW - M5'!I26=0,0,IF('NW - M5'!I26&gt;=0,'NW - M5'!I26))</f>
        <v>0</v>
      </c>
      <c r="Z37" s="206" t="str">
        <f t="shared" si="13"/>
        <v/>
      </c>
      <c r="AA37" s="250">
        <f t="shared" si="14"/>
        <v>0</v>
      </c>
      <c r="AB37" s="249">
        <f>IF('NW - M5'!H26=0,0,IF('NW - M5'!H26&gt;=0,'NW - M5'!H26))</f>
        <v>0</v>
      </c>
      <c r="AC37" s="206" t="str">
        <f t="shared" si="15"/>
        <v/>
      </c>
      <c r="AD37" s="1" t="str">
        <f t="shared" si="39"/>
        <v/>
      </c>
      <c r="AE37" s="1" t="str">
        <f t="shared" si="16"/>
        <v/>
      </c>
      <c r="AF37" s="1" t="str">
        <f t="shared" si="17"/>
        <v/>
      </c>
      <c r="AG37" s="1" t="str">
        <f t="shared" si="18"/>
        <v/>
      </c>
      <c r="AH37" s="1" t="str">
        <f t="shared" si="19"/>
        <v/>
      </c>
      <c r="AI37" s="1">
        <f t="shared" si="20"/>
        <v>0</v>
      </c>
      <c r="AJ37" s="106" t="b">
        <f t="shared" si="21"/>
        <v>0</v>
      </c>
      <c r="AK37" s="106" t="b">
        <f t="shared" si="22"/>
        <v>0</v>
      </c>
      <c r="AL37" s="106" t="b">
        <f t="shared" si="23"/>
        <v>0</v>
      </c>
      <c r="AM37" s="106" t="b">
        <f t="shared" si="24"/>
        <v>0</v>
      </c>
      <c r="AN37" s="106" t="b">
        <f t="shared" si="25"/>
        <v>0</v>
      </c>
      <c r="AO37" s="106" t="b">
        <f t="shared" si="40"/>
        <v>0</v>
      </c>
      <c r="AP37" s="106" t="b">
        <f t="shared" si="26"/>
        <v>0</v>
      </c>
      <c r="AQ37" s="106" t="b">
        <f t="shared" si="27"/>
        <v>0</v>
      </c>
      <c r="AR37" s="106" t="b">
        <f t="shared" si="28"/>
        <v>0</v>
      </c>
      <c r="AS37" s="106" t="b">
        <f t="shared" si="29"/>
        <v>0</v>
      </c>
      <c r="AT37" s="148" t="str">
        <f t="shared" si="41"/>
        <v/>
      </c>
      <c r="AU37" s="198" t="e">
        <f t="shared" si="30"/>
        <v>#VALUE!</v>
      </c>
      <c r="AV37" s="204" t="str">
        <f t="shared" si="31"/>
        <v/>
      </c>
      <c r="AW37" s="107" t="str">
        <f t="shared" si="32"/>
        <v/>
      </c>
      <c r="AX37" s="108"/>
      <c r="AY37" s="109" t="str">
        <f t="shared" si="33"/>
        <v/>
      </c>
      <c r="AZ37" s="110"/>
      <c r="BA37" s="111" t="str">
        <f t="shared" si="34"/>
        <v/>
      </c>
      <c r="BB37" s="112"/>
      <c r="BC37" s="113" t="str">
        <f t="shared" si="35"/>
        <v/>
      </c>
      <c r="BD37" s="114">
        <f t="shared" si="36"/>
        <v>0</v>
      </c>
      <c r="BE37" s="118"/>
      <c r="BF37" s="113" t="str">
        <f t="shared" si="37"/>
        <v/>
      </c>
      <c r="BG37" s="116">
        <f t="shared" si="38"/>
        <v>0</v>
      </c>
    </row>
    <row r="38" spans="1:59" ht="15" customHeight="1" x14ac:dyDescent="0.2">
      <c r="A38">
        <v>22</v>
      </c>
      <c r="B38" s="187">
        <f>BEGINBLAD!B27</f>
        <v>0</v>
      </c>
      <c r="C38" s="110" t="str">
        <f>IF('RIO - E4'!C38="","",IF('RIO - E4'!C38&gt;"",'RIO - E4'!C38))</f>
        <v/>
      </c>
      <c r="D38" s="149" t="str">
        <f>IF('NW - M5'!N27="","",IF('NW - M5'!N27="A+","A",IF('NW - M5'!N27="A","A",IF('NW - M5'!N27="B","B",IF('NW - M5'!N27="C","C",IF('NW - M5'!N27="C-","C",IF('NW - M5'!N27="D","D",IF('NW - M5'!N27="E","E"))))))))</f>
        <v/>
      </c>
      <c r="E38" s="110"/>
      <c r="F38" s="192" t="str">
        <f t="shared" si="0"/>
        <v/>
      </c>
      <c r="G38" s="192" t="str">
        <f t="shared" si="1"/>
        <v/>
      </c>
      <c r="H38" s="191" t="str">
        <f t="shared" si="2"/>
        <v/>
      </c>
      <c r="I38" s="193" t="str">
        <f t="shared" si="3"/>
        <v/>
      </c>
      <c r="J38" s="208" t="str">
        <f t="shared" si="4"/>
        <v/>
      </c>
      <c r="K38" s="210" t="str">
        <f t="shared" si="5"/>
        <v/>
      </c>
      <c r="L38" s="189"/>
      <c r="M38" s="110"/>
      <c r="N38" s="117"/>
      <c r="O38" s="250">
        <f t="shared" si="6"/>
        <v>0</v>
      </c>
      <c r="P38" s="249">
        <f>IF('NW - M5'!D27=0,0,IF('NW - M5'!D27&gt;=0,'NW - M5'!D27))</f>
        <v>0</v>
      </c>
      <c r="Q38" s="206" t="str">
        <f t="shared" si="7"/>
        <v/>
      </c>
      <c r="R38" s="250">
        <f t="shared" si="8"/>
        <v>0</v>
      </c>
      <c r="S38" s="249">
        <f>IF('NW - M5'!F27=0,0,IF('NW - M5'!F27&gt;=0,'NW - M5'!F27))</f>
        <v>0</v>
      </c>
      <c r="T38" s="206" t="str">
        <f t="shared" si="9"/>
        <v/>
      </c>
      <c r="U38" s="250">
        <f t="shared" si="10"/>
        <v>0</v>
      </c>
      <c r="V38" s="249">
        <f>IF('NW - M5'!E27=0,0,IF('NW - M5'!E27&gt;=0,'NW - M5'!E27))</f>
        <v>0</v>
      </c>
      <c r="W38" s="206" t="str">
        <f t="shared" si="11"/>
        <v/>
      </c>
      <c r="X38" s="250">
        <f t="shared" si="12"/>
        <v>0</v>
      </c>
      <c r="Y38" s="249">
        <f>IF('NW - M5'!I27=0,0,IF('NW - M5'!I27&gt;=0,'NW - M5'!I27))</f>
        <v>0</v>
      </c>
      <c r="Z38" s="206" t="str">
        <f t="shared" si="13"/>
        <v/>
      </c>
      <c r="AA38" s="250">
        <f t="shared" si="14"/>
        <v>0</v>
      </c>
      <c r="AB38" s="249">
        <f>IF('NW - M5'!H27=0,0,IF('NW - M5'!H27&gt;=0,'NW - M5'!H27))</f>
        <v>0</v>
      </c>
      <c r="AC38" s="206" t="str">
        <f t="shared" si="15"/>
        <v/>
      </c>
      <c r="AD38" s="1" t="str">
        <f t="shared" si="39"/>
        <v/>
      </c>
      <c r="AE38" s="1" t="str">
        <f t="shared" si="16"/>
        <v/>
      </c>
      <c r="AF38" s="1" t="str">
        <f t="shared" si="17"/>
        <v/>
      </c>
      <c r="AG38" s="1" t="str">
        <f t="shared" si="18"/>
        <v/>
      </c>
      <c r="AH38" s="1" t="str">
        <f t="shared" si="19"/>
        <v/>
      </c>
      <c r="AI38" s="1">
        <f t="shared" si="20"/>
        <v>0</v>
      </c>
      <c r="AJ38" s="106" t="b">
        <f t="shared" si="21"/>
        <v>0</v>
      </c>
      <c r="AK38" s="106" t="b">
        <f t="shared" si="22"/>
        <v>0</v>
      </c>
      <c r="AL38" s="106" t="b">
        <f t="shared" si="23"/>
        <v>0</v>
      </c>
      <c r="AM38" s="106" t="b">
        <f t="shared" si="24"/>
        <v>0</v>
      </c>
      <c r="AN38" s="106" t="b">
        <f t="shared" si="25"/>
        <v>0</v>
      </c>
      <c r="AO38" s="106" t="b">
        <f t="shared" si="40"/>
        <v>0</v>
      </c>
      <c r="AP38" s="106" t="b">
        <f t="shared" si="26"/>
        <v>0</v>
      </c>
      <c r="AQ38" s="106" t="b">
        <f t="shared" si="27"/>
        <v>0</v>
      </c>
      <c r="AR38" s="106" t="b">
        <f t="shared" si="28"/>
        <v>0</v>
      </c>
      <c r="AS38" s="106" t="b">
        <f t="shared" si="29"/>
        <v>0</v>
      </c>
      <c r="AT38" s="148" t="str">
        <f t="shared" si="41"/>
        <v/>
      </c>
      <c r="AU38" s="198" t="e">
        <f t="shared" si="30"/>
        <v>#VALUE!</v>
      </c>
      <c r="AV38" s="204" t="str">
        <f t="shared" si="31"/>
        <v/>
      </c>
      <c r="AW38" s="107" t="str">
        <f t="shared" si="32"/>
        <v/>
      </c>
      <c r="AX38" s="108"/>
      <c r="AY38" s="109" t="str">
        <f t="shared" si="33"/>
        <v/>
      </c>
      <c r="AZ38" s="110"/>
      <c r="BA38" s="111" t="str">
        <f t="shared" si="34"/>
        <v/>
      </c>
      <c r="BB38" s="112"/>
      <c r="BC38" s="113" t="str">
        <f t="shared" si="35"/>
        <v/>
      </c>
      <c r="BD38" s="114">
        <f t="shared" si="36"/>
        <v>0</v>
      </c>
      <c r="BE38" s="118"/>
      <c r="BF38" s="113" t="str">
        <f t="shared" si="37"/>
        <v/>
      </c>
      <c r="BG38" s="116">
        <f t="shared" si="38"/>
        <v>0</v>
      </c>
    </row>
    <row r="39" spans="1:59" ht="15" customHeight="1" x14ac:dyDescent="0.2">
      <c r="A39">
        <v>23</v>
      </c>
      <c r="B39" s="187">
        <f>BEGINBLAD!B28</f>
        <v>0</v>
      </c>
      <c r="C39" s="110" t="str">
        <f>IF('RIO - E4'!C39="","",IF('RIO - E4'!C39&gt;"",'RIO - E4'!C39))</f>
        <v/>
      </c>
      <c r="D39" s="149" t="str">
        <f>IF('NW - M5'!N28="","",IF('NW - M5'!N28="A+","A",IF('NW - M5'!N28="A","A",IF('NW - M5'!N28="B","B",IF('NW - M5'!N28="C","C",IF('NW - M5'!N28="C-","C",IF('NW - M5'!N28="D","D",IF('NW - M5'!N28="E","E"))))))))</f>
        <v/>
      </c>
      <c r="E39" s="110"/>
      <c r="F39" s="192" t="str">
        <f t="shared" si="0"/>
        <v/>
      </c>
      <c r="G39" s="192" t="str">
        <f t="shared" si="1"/>
        <v/>
      </c>
      <c r="H39" s="191" t="str">
        <f t="shared" si="2"/>
        <v/>
      </c>
      <c r="I39" s="193" t="str">
        <f t="shared" si="3"/>
        <v/>
      </c>
      <c r="J39" s="208" t="str">
        <f t="shared" si="4"/>
        <v/>
      </c>
      <c r="K39" s="210" t="str">
        <f t="shared" si="5"/>
        <v/>
      </c>
      <c r="L39" s="189"/>
      <c r="M39" s="110"/>
      <c r="N39" s="117"/>
      <c r="O39" s="250">
        <f t="shared" si="6"/>
        <v>0</v>
      </c>
      <c r="P39" s="249">
        <f>IF('NW - M5'!D28=0,0,IF('NW - M5'!D28&gt;=0,'NW - M5'!D28))</f>
        <v>0</v>
      </c>
      <c r="Q39" s="206" t="str">
        <f t="shared" si="7"/>
        <v/>
      </c>
      <c r="R39" s="250">
        <f t="shared" si="8"/>
        <v>0</v>
      </c>
      <c r="S39" s="249">
        <f>IF('NW - M5'!F28=0,0,IF('NW - M5'!F28&gt;=0,'NW - M5'!F28))</f>
        <v>0</v>
      </c>
      <c r="T39" s="206" t="str">
        <f t="shared" si="9"/>
        <v/>
      </c>
      <c r="U39" s="250">
        <f t="shared" si="10"/>
        <v>0</v>
      </c>
      <c r="V39" s="249">
        <f>IF('NW - M5'!E28=0,0,IF('NW - M5'!E28&gt;=0,'NW - M5'!E28))</f>
        <v>0</v>
      </c>
      <c r="W39" s="206" t="str">
        <f t="shared" si="11"/>
        <v/>
      </c>
      <c r="X39" s="250">
        <f t="shared" si="12"/>
        <v>0</v>
      </c>
      <c r="Y39" s="249">
        <f>IF('NW - M5'!I28=0,0,IF('NW - M5'!I28&gt;=0,'NW - M5'!I28))</f>
        <v>0</v>
      </c>
      <c r="Z39" s="206" t="str">
        <f t="shared" si="13"/>
        <v/>
      </c>
      <c r="AA39" s="250">
        <f t="shared" si="14"/>
        <v>0</v>
      </c>
      <c r="AB39" s="249">
        <f>IF('NW - M5'!H28=0,0,IF('NW - M5'!H28&gt;=0,'NW - M5'!H28))</f>
        <v>0</v>
      </c>
      <c r="AC39" s="206" t="str">
        <f t="shared" si="15"/>
        <v/>
      </c>
      <c r="AD39" s="1" t="str">
        <f t="shared" si="39"/>
        <v/>
      </c>
      <c r="AE39" s="1" t="str">
        <f t="shared" si="16"/>
        <v/>
      </c>
      <c r="AF39" s="1" t="str">
        <f t="shared" si="17"/>
        <v/>
      </c>
      <c r="AG39" s="1" t="str">
        <f t="shared" si="18"/>
        <v/>
      </c>
      <c r="AH39" s="1" t="str">
        <f t="shared" si="19"/>
        <v/>
      </c>
      <c r="AI39" s="1">
        <f t="shared" si="20"/>
        <v>0</v>
      </c>
      <c r="AJ39" s="106" t="b">
        <f t="shared" si="21"/>
        <v>0</v>
      </c>
      <c r="AK39" s="106" t="b">
        <f t="shared" si="22"/>
        <v>0</v>
      </c>
      <c r="AL39" s="106" t="b">
        <f t="shared" si="23"/>
        <v>0</v>
      </c>
      <c r="AM39" s="106" t="b">
        <f t="shared" si="24"/>
        <v>0</v>
      </c>
      <c r="AN39" s="106" t="b">
        <f t="shared" si="25"/>
        <v>0</v>
      </c>
      <c r="AO39" s="106" t="b">
        <f t="shared" si="40"/>
        <v>0</v>
      </c>
      <c r="AP39" s="106" t="b">
        <f t="shared" si="26"/>
        <v>0</v>
      </c>
      <c r="AQ39" s="106" t="b">
        <f t="shared" si="27"/>
        <v>0</v>
      </c>
      <c r="AR39" s="106" t="b">
        <f t="shared" si="28"/>
        <v>0</v>
      </c>
      <c r="AS39" s="106" t="b">
        <f t="shared" si="29"/>
        <v>0</v>
      </c>
      <c r="AT39" s="148" t="str">
        <f t="shared" si="41"/>
        <v/>
      </c>
      <c r="AU39" s="198" t="e">
        <f t="shared" si="30"/>
        <v>#VALUE!</v>
      </c>
      <c r="AV39" s="204" t="str">
        <f t="shared" si="31"/>
        <v/>
      </c>
      <c r="AW39" s="107" t="str">
        <f t="shared" si="32"/>
        <v/>
      </c>
      <c r="AX39" s="108"/>
      <c r="AY39" s="109" t="str">
        <f t="shared" si="33"/>
        <v/>
      </c>
      <c r="AZ39" s="110"/>
      <c r="BA39" s="111" t="str">
        <f t="shared" si="34"/>
        <v/>
      </c>
      <c r="BB39" s="112"/>
      <c r="BC39" s="113" t="str">
        <f t="shared" si="35"/>
        <v/>
      </c>
      <c r="BD39" s="114">
        <f t="shared" si="36"/>
        <v>0</v>
      </c>
      <c r="BE39" s="118"/>
      <c r="BF39" s="113" t="str">
        <f t="shared" si="37"/>
        <v/>
      </c>
      <c r="BG39" s="116">
        <f t="shared" si="38"/>
        <v>0</v>
      </c>
    </row>
    <row r="40" spans="1:59" ht="15" customHeight="1" x14ac:dyDescent="0.2">
      <c r="A40">
        <v>24</v>
      </c>
      <c r="B40" s="187">
        <f>BEGINBLAD!B29</f>
        <v>0</v>
      </c>
      <c r="C40" s="110" t="str">
        <f>IF('RIO - E4'!C40="","",IF('RIO - E4'!C40&gt;"",'RIO - E4'!C40))</f>
        <v/>
      </c>
      <c r="D40" s="149" t="str">
        <f>IF('NW - M5'!N29="","",IF('NW - M5'!N29="A+","A",IF('NW - M5'!N29="A","A",IF('NW - M5'!N29="B","B",IF('NW - M5'!N29="C","C",IF('NW - M5'!N29="C-","C",IF('NW - M5'!N29="D","D",IF('NW - M5'!N29="E","E"))))))))</f>
        <v/>
      </c>
      <c r="E40" s="110"/>
      <c r="F40" s="192" t="str">
        <f t="shared" si="0"/>
        <v/>
      </c>
      <c r="G40" s="192" t="str">
        <f t="shared" si="1"/>
        <v/>
      </c>
      <c r="H40" s="191" t="str">
        <f t="shared" si="2"/>
        <v/>
      </c>
      <c r="I40" s="193" t="str">
        <f t="shared" si="3"/>
        <v/>
      </c>
      <c r="J40" s="208" t="str">
        <f t="shared" si="4"/>
        <v/>
      </c>
      <c r="K40" s="210" t="str">
        <f t="shared" si="5"/>
        <v/>
      </c>
      <c r="L40" s="189"/>
      <c r="M40" s="110"/>
      <c r="N40" s="117"/>
      <c r="O40" s="250">
        <f t="shared" si="6"/>
        <v>0</v>
      </c>
      <c r="P40" s="249">
        <f>IF('NW - M5'!D29=0,0,IF('NW - M5'!D29&gt;=0,'NW - M5'!D29))</f>
        <v>0</v>
      </c>
      <c r="Q40" s="206" t="str">
        <f t="shared" si="7"/>
        <v/>
      </c>
      <c r="R40" s="250">
        <f t="shared" si="8"/>
        <v>0</v>
      </c>
      <c r="S40" s="249">
        <f>IF('NW - M5'!F29=0,0,IF('NW - M5'!F29&gt;=0,'NW - M5'!F29))</f>
        <v>0</v>
      </c>
      <c r="T40" s="206" t="str">
        <f t="shared" si="9"/>
        <v/>
      </c>
      <c r="U40" s="250">
        <f t="shared" si="10"/>
        <v>0</v>
      </c>
      <c r="V40" s="249">
        <f>IF('NW - M5'!E29=0,0,IF('NW - M5'!E29&gt;=0,'NW - M5'!E29))</f>
        <v>0</v>
      </c>
      <c r="W40" s="206" t="str">
        <f t="shared" si="11"/>
        <v/>
      </c>
      <c r="X40" s="250">
        <f t="shared" si="12"/>
        <v>0</v>
      </c>
      <c r="Y40" s="249">
        <f>IF('NW - M5'!I29=0,0,IF('NW - M5'!I29&gt;=0,'NW - M5'!I29))</f>
        <v>0</v>
      </c>
      <c r="Z40" s="206" t="str">
        <f t="shared" si="13"/>
        <v/>
      </c>
      <c r="AA40" s="250">
        <f t="shared" si="14"/>
        <v>0</v>
      </c>
      <c r="AB40" s="249">
        <f>IF('NW - M5'!H29=0,0,IF('NW - M5'!H29&gt;=0,'NW - M5'!H29))</f>
        <v>0</v>
      </c>
      <c r="AC40" s="206" t="str">
        <f t="shared" si="15"/>
        <v/>
      </c>
      <c r="AD40" s="1" t="str">
        <f t="shared" si="39"/>
        <v/>
      </c>
      <c r="AE40" s="1" t="str">
        <f t="shared" si="16"/>
        <v/>
      </c>
      <c r="AF40" s="1" t="str">
        <f t="shared" si="17"/>
        <v/>
      </c>
      <c r="AG40" s="1" t="str">
        <f t="shared" si="18"/>
        <v/>
      </c>
      <c r="AH40" s="1" t="str">
        <f t="shared" si="19"/>
        <v/>
      </c>
      <c r="AI40" s="1">
        <f t="shared" si="20"/>
        <v>0</v>
      </c>
      <c r="AJ40" s="106" t="b">
        <f t="shared" si="21"/>
        <v>0</v>
      </c>
      <c r="AK40" s="106" t="b">
        <f t="shared" si="22"/>
        <v>0</v>
      </c>
      <c r="AL40" s="106" t="b">
        <f t="shared" si="23"/>
        <v>0</v>
      </c>
      <c r="AM40" s="106" t="b">
        <f t="shared" si="24"/>
        <v>0</v>
      </c>
      <c r="AN40" s="106" t="b">
        <f t="shared" si="25"/>
        <v>0</v>
      </c>
      <c r="AO40" s="106" t="b">
        <f t="shared" si="40"/>
        <v>0</v>
      </c>
      <c r="AP40" s="106" t="b">
        <f t="shared" si="26"/>
        <v>0</v>
      </c>
      <c r="AQ40" s="106" t="b">
        <f t="shared" si="27"/>
        <v>0</v>
      </c>
      <c r="AR40" s="106" t="b">
        <f t="shared" si="28"/>
        <v>0</v>
      </c>
      <c r="AS40" s="106" t="b">
        <f t="shared" si="29"/>
        <v>0</v>
      </c>
      <c r="AT40" s="148" t="str">
        <f t="shared" si="41"/>
        <v/>
      </c>
      <c r="AU40" s="198" t="e">
        <f t="shared" si="30"/>
        <v>#VALUE!</v>
      </c>
      <c r="AV40" s="204" t="str">
        <f t="shared" si="31"/>
        <v/>
      </c>
      <c r="AW40" s="107" t="str">
        <f t="shared" si="32"/>
        <v/>
      </c>
      <c r="AX40" s="108"/>
      <c r="AY40" s="109" t="str">
        <f t="shared" si="33"/>
        <v/>
      </c>
      <c r="AZ40" s="110"/>
      <c r="BA40" s="111" t="str">
        <f t="shared" si="34"/>
        <v/>
      </c>
      <c r="BB40" s="112"/>
      <c r="BC40" s="113" t="str">
        <f t="shared" si="35"/>
        <v/>
      </c>
      <c r="BD40" s="114">
        <f t="shared" si="36"/>
        <v>0</v>
      </c>
      <c r="BE40" s="118"/>
      <c r="BF40" s="113" t="str">
        <f t="shared" si="37"/>
        <v/>
      </c>
      <c r="BG40" s="116">
        <f t="shared" si="38"/>
        <v>0</v>
      </c>
    </row>
    <row r="41" spans="1:59" ht="15" customHeight="1" x14ac:dyDescent="0.2">
      <c r="A41">
        <v>25</v>
      </c>
      <c r="B41" s="187">
        <f>BEGINBLAD!B30</f>
        <v>0</v>
      </c>
      <c r="C41" s="110" t="str">
        <f>IF('RIO - E4'!C41="","",IF('RIO - E4'!C41&gt;"",'RIO - E4'!C41))</f>
        <v/>
      </c>
      <c r="D41" s="149" t="str">
        <f>IF('NW - M5'!N30="","",IF('NW - M5'!N30="A+","A",IF('NW - M5'!N30="A","A",IF('NW - M5'!N30="B","B",IF('NW - M5'!N30="C","C",IF('NW - M5'!N30="C-","C",IF('NW - M5'!N30="D","D",IF('NW - M5'!N30="E","E"))))))))</f>
        <v/>
      </c>
      <c r="E41" s="110"/>
      <c r="F41" s="192" t="str">
        <f t="shared" si="0"/>
        <v/>
      </c>
      <c r="G41" s="192" t="str">
        <f t="shared" si="1"/>
        <v/>
      </c>
      <c r="H41" s="191" t="str">
        <f t="shared" si="2"/>
        <v/>
      </c>
      <c r="I41" s="193" t="str">
        <f t="shared" si="3"/>
        <v/>
      </c>
      <c r="J41" s="208" t="str">
        <f t="shared" si="4"/>
        <v/>
      </c>
      <c r="K41" s="210" t="str">
        <f t="shared" si="5"/>
        <v/>
      </c>
      <c r="L41" s="189"/>
      <c r="M41" s="110"/>
      <c r="N41" s="117"/>
      <c r="O41" s="250">
        <f t="shared" si="6"/>
        <v>0</v>
      </c>
      <c r="P41" s="249">
        <f>IF('NW - M5'!D30=0,0,IF('NW - M5'!D30&gt;=0,'NW - M5'!D30))</f>
        <v>0</v>
      </c>
      <c r="Q41" s="206" t="str">
        <f t="shared" si="7"/>
        <v/>
      </c>
      <c r="R41" s="250">
        <f t="shared" si="8"/>
        <v>0</v>
      </c>
      <c r="S41" s="249">
        <f>IF('NW - M5'!F30=0,0,IF('NW - M5'!F30&gt;=0,'NW - M5'!F30))</f>
        <v>0</v>
      </c>
      <c r="T41" s="206" t="str">
        <f t="shared" si="9"/>
        <v/>
      </c>
      <c r="U41" s="250">
        <f t="shared" si="10"/>
        <v>0</v>
      </c>
      <c r="V41" s="249">
        <f>IF('NW - M5'!E30=0,0,IF('NW - M5'!E30&gt;=0,'NW - M5'!E30))</f>
        <v>0</v>
      </c>
      <c r="W41" s="206" t="str">
        <f t="shared" si="11"/>
        <v/>
      </c>
      <c r="X41" s="250">
        <f t="shared" si="12"/>
        <v>0</v>
      </c>
      <c r="Y41" s="249">
        <f>IF('NW - M5'!I30=0,0,IF('NW - M5'!I30&gt;=0,'NW - M5'!I30))</f>
        <v>0</v>
      </c>
      <c r="Z41" s="206" t="str">
        <f t="shared" si="13"/>
        <v/>
      </c>
      <c r="AA41" s="250">
        <f t="shared" si="14"/>
        <v>0</v>
      </c>
      <c r="AB41" s="249">
        <f>IF('NW - M5'!H30=0,0,IF('NW - M5'!H30&gt;=0,'NW - M5'!H30))</f>
        <v>0</v>
      </c>
      <c r="AC41" s="206" t="str">
        <f t="shared" si="15"/>
        <v/>
      </c>
      <c r="AD41" s="1" t="str">
        <f t="shared" si="39"/>
        <v/>
      </c>
      <c r="AE41" s="1" t="str">
        <f t="shared" si="16"/>
        <v/>
      </c>
      <c r="AF41" s="1" t="str">
        <f t="shared" si="17"/>
        <v/>
      </c>
      <c r="AG41" s="1" t="str">
        <f t="shared" si="18"/>
        <v/>
      </c>
      <c r="AH41" s="1" t="str">
        <f t="shared" si="19"/>
        <v/>
      </c>
      <c r="AI41" s="1">
        <f t="shared" si="20"/>
        <v>0</v>
      </c>
      <c r="AJ41" s="106" t="b">
        <f t="shared" si="21"/>
        <v>0</v>
      </c>
      <c r="AK41" s="106" t="b">
        <f t="shared" si="22"/>
        <v>0</v>
      </c>
      <c r="AL41" s="106" t="b">
        <f t="shared" si="23"/>
        <v>0</v>
      </c>
      <c r="AM41" s="106" t="b">
        <f t="shared" si="24"/>
        <v>0</v>
      </c>
      <c r="AN41" s="106" t="b">
        <f t="shared" si="25"/>
        <v>0</v>
      </c>
      <c r="AO41" s="106" t="b">
        <f t="shared" si="40"/>
        <v>0</v>
      </c>
      <c r="AP41" s="106" t="b">
        <f t="shared" si="26"/>
        <v>0</v>
      </c>
      <c r="AQ41" s="106" t="b">
        <f t="shared" si="27"/>
        <v>0</v>
      </c>
      <c r="AR41" s="106" t="b">
        <f t="shared" si="28"/>
        <v>0</v>
      </c>
      <c r="AS41" s="106" t="b">
        <f t="shared" si="29"/>
        <v>0</v>
      </c>
      <c r="AT41" s="148" t="str">
        <f t="shared" si="41"/>
        <v/>
      </c>
      <c r="AU41" s="198" t="e">
        <f t="shared" si="30"/>
        <v>#VALUE!</v>
      </c>
      <c r="AV41" s="204" t="str">
        <f t="shared" si="31"/>
        <v/>
      </c>
      <c r="AW41" s="107" t="str">
        <f t="shared" si="32"/>
        <v/>
      </c>
      <c r="AX41" s="108"/>
      <c r="AY41" s="109" t="str">
        <f t="shared" si="33"/>
        <v/>
      </c>
      <c r="AZ41" s="110"/>
      <c r="BA41" s="111" t="str">
        <f t="shared" si="34"/>
        <v/>
      </c>
      <c r="BB41" s="112"/>
      <c r="BC41" s="113" t="str">
        <f t="shared" si="35"/>
        <v/>
      </c>
      <c r="BD41" s="114">
        <f t="shared" si="36"/>
        <v>0</v>
      </c>
      <c r="BE41" s="118"/>
      <c r="BF41" s="113" t="str">
        <f t="shared" si="37"/>
        <v/>
      </c>
      <c r="BG41" s="116">
        <f t="shared" si="38"/>
        <v>0</v>
      </c>
    </row>
    <row r="42" spans="1:59" ht="15" customHeight="1" x14ac:dyDescent="0.2">
      <c r="A42">
        <v>26</v>
      </c>
      <c r="B42" s="187">
        <f>BEGINBLAD!B31</f>
        <v>0</v>
      </c>
      <c r="C42" s="110" t="str">
        <f>IF('RIO - E4'!C42="","",IF('RIO - E4'!C42&gt;"",'RIO - E4'!C42))</f>
        <v/>
      </c>
      <c r="D42" s="149" t="str">
        <f>IF('NW - M5'!N31="","",IF('NW - M5'!N31="A+","A",IF('NW - M5'!N31="A","A",IF('NW - M5'!N31="B","B",IF('NW - M5'!N31="C","C",IF('NW - M5'!N31="C-","C",IF('NW - M5'!N31="D","D",IF('NW - M5'!N31="E","E"))))))))</f>
        <v/>
      </c>
      <c r="E42" s="110"/>
      <c r="F42" s="192" t="str">
        <f t="shared" si="0"/>
        <v/>
      </c>
      <c r="G42" s="192" t="str">
        <f t="shared" si="1"/>
        <v/>
      </c>
      <c r="H42" s="191" t="str">
        <f t="shared" si="2"/>
        <v/>
      </c>
      <c r="I42" s="193" t="str">
        <f t="shared" si="3"/>
        <v/>
      </c>
      <c r="J42" s="208" t="str">
        <f t="shared" si="4"/>
        <v/>
      </c>
      <c r="K42" s="210" t="str">
        <f t="shared" si="5"/>
        <v/>
      </c>
      <c r="L42" s="189"/>
      <c r="M42" s="110"/>
      <c r="N42" s="117"/>
      <c r="O42" s="250">
        <f t="shared" si="6"/>
        <v>0</v>
      </c>
      <c r="P42" s="249">
        <f>IF('NW - M5'!D31=0,0,IF('NW - M5'!D31&gt;=0,'NW - M5'!D31))</f>
        <v>0</v>
      </c>
      <c r="Q42" s="206" t="str">
        <f t="shared" si="7"/>
        <v/>
      </c>
      <c r="R42" s="250">
        <f t="shared" si="8"/>
        <v>0</v>
      </c>
      <c r="S42" s="249">
        <f>IF('NW - M5'!F31=0,0,IF('NW - M5'!F31&gt;=0,'NW - M5'!F31))</f>
        <v>0</v>
      </c>
      <c r="T42" s="206" t="str">
        <f t="shared" si="9"/>
        <v/>
      </c>
      <c r="U42" s="250">
        <f t="shared" si="10"/>
        <v>0</v>
      </c>
      <c r="V42" s="249">
        <f>IF('NW - M5'!E31=0,0,IF('NW - M5'!E31&gt;=0,'NW - M5'!E31))</f>
        <v>0</v>
      </c>
      <c r="W42" s="206" t="str">
        <f t="shared" si="11"/>
        <v/>
      </c>
      <c r="X42" s="250">
        <f t="shared" si="12"/>
        <v>0</v>
      </c>
      <c r="Y42" s="249">
        <f>IF('NW - M5'!I31=0,0,IF('NW - M5'!I31&gt;=0,'NW - M5'!I31))</f>
        <v>0</v>
      </c>
      <c r="Z42" s="206" t="str">
        <f t="shared" si="13"/>
        <v/>
      </c>
      <c r="AA42" s="250">
        <f t="shared" si="14"/>
        <v>0</v>
      </c>
      <c r="AB42" s="249">
        <f>IF('NW - M5'!H31=0,0,IF('NW - M5'!H31&gt;=0,'NW - M5'!H31))</f>
        <v>0</v>
      </c>
      <c r="AC42" s="206" t="str">
        <f t="shared" si="15"/>
        <v/>
      </c>
      <c r="AD42" s="1" t="str">
        <f t="shared" si="39"/>
        <v/>
      </c>
      <c r="AE42" s="1" t="str">
        <f t="shared" si="16"/>
        <v/>
      </c>
      <c r="AF42" s="1" t="str">
        <f t="shared" si="17"/>
        <v/>
      </c>
      <c r="AG42" s="1" t="str">
        <f t="shared" si="18"/>
        <v/>
      </c>
      <c r="AH42" s="1" t="str">
        <f t="shared" si="19"/>
        <v/>
      </c>
      <c r="AI42" s="1">
        <f t="shared" si="20"/>
        <v>0</v>
      </c>
      <c r="AJ42" s="106" t="b">
        <f t="shared" si="21"/>
        <v>0</v>
      </c>
      <c r="AK42" s="106" t="b">
        <f t="shared" si="22"/>
        <v>0</v>
      </c>
      <c r="AL42" s="106" t="b">
        <f t="shared" si="23"/>
        <v>0</v>
      </c>
      <c r="AM42" s="106" t="b">
        <f t="shared" si="24"/>
        <v>0</v>
      </c>
      <c r="AN42" s="106" t="b">
        <f t="shared" si="25"/>
        <v>0</v>
      </c>
      <c r="AO42" s="106" t="b">
        <f t="shared" si="40"/>
        <v>0</v>
      </c>
      <c r="AP42" s="106" t="b">
        <f t="shared" si="26"/>
        <v>0</v>
      </c>
      <c r="AQ42" s="106" t="b">
        <f t="shared" si="27"/>
        <v>0</v>
      </c>
      <c r="AR42" s="106" t="b">
        <f t="shared" si="28"/>
        <v>0</v>
      </c>
      <c r="AS42" s="106" t="b">
        <f t="shared" si="29"/>
        <v>0</v>
      </c>
      <c r="AT42" s="148" t="str">
        <f t="shared" si="41"/>
        <v/>
      </c>
      <c r="AU42" s="198" t="e">
        <f t="shared" si="30"/>
        <v>#VALUE!</v>
      </c>
      <c r="AV42" s="204" t="str">
        <f t="shared" si="31"/>
        <v/>
      </c>
      <c r="AW42" s="107" t="str">
        <f t="shared" si="32"/>
        <v/>
      </c>
      <c r="AX42" s="119" t="b">
        <f>IF($J$1=3,1,IF($J$1="3A",1,IF($J$1="3B",1,IF($J$1="3C",1))))</f>
        <v>0</v>
      </c>
      <c r="AY42" s="109" t="str">
        <f t="shared" si="33"/>
        <v/>
      </c>
      <c r="AZ42" s="110"/>
      <c r="BA42" s="111" t="str">
        <f t="shared" si="34"/>
        <v/>
      </c>
      <c r="BB42" s="112"/>
      <c r="BC42" s="113" t="str">
        <f t="shared" si="35"/>
        <v/>
      </c>
      <c r="BD42" s="114">
        <f t="shared" si="36"/>
        <v>0</v>
      </c>
      <c r="BE42" s="118"/>
      <c r="BF42" s="113" t="str">
        <f t="shared" si="37"/>
        <v/>
      </c>
      <c r="BG42" s="116">
        <f t="shared" si="38"/>
        <v>0</v>
      </c>
    </row>
    <row r="43" spans="1:59" ht="15" customHeight="1" x14ac:dyDescent="0.2">
      <c r="A43">
        <v>27</v>
      </c>
      <c r="B43" s="187">
        <f>BEGINBLAD!B32</f>
        <v>0</v>
      </c>
      <c r="C43" s="110" t="str">
        <f>IF('RIO - E4'!C43="","",IF('RIO - E4'!C43&gt;"",'RIO - E4'!C43))</f>
        <v/>
      </c>
      <c r="D43" s="149" t="str">
        <f>IF('NW - M5'!N32="","",IF('NW - M5'!N32="A+","A",IF('NW - M5'!N32="A","A",IF('NW - M5'!N32="B","B",IF('NW - M5'!N32="C","C",IF('NW - M5'!N32="C-","C",IF('NW - M5'!N32="D","D",IF('NW - M5'!N32="E","E"))))))))</f>
        <v/>
      </c>
      <c r="E43" s="110"/>
      <c r="F43" s="192" t="str">
        <f t="shared" si="0"/>
        <v/>
      </c>
      <c r="G43" s="192" t="str">
        <f t="shared" si="1"/>
        <v/>
      </c>
      <c r="H43" s="191" t="str">
        <f t="shared" si="2"/>
        <v/>
      </c>
      <c r="I43" s="193" t="str">
        <f t="shared" si="3"/>
        <v/>
      </c>
      <c r="J43" s="208" t="str">
        <f t="shared" si="4"/>
        <v/>
      </c>
      <c r="K43" s="210" t="str">
        <f t="shared" si="5"/>
        <v/>
      </c>
      <c r="L43" s="189"/>
      <c r="M43" s="110"/>
      <c r="N43" s="117"/>
      <c r="O43" s="250">
        <f t="shared" si="6"/>
        <v>0</v>
      </c>
      <c r="P43" s="249">
        <f>IF('NW - M5'!D32=0,0,IF('NW - M5'!D32&gt;=0,'NW - M5'!D32))</f>
        <v>0</v>
      </c>
      <c r="Q43" s="206" t="str">
        <f t="shared" si="7"/>
        <v/>
      </c>
      <c r="R43" s="250">
        <f t="shared" si="8"/>
        <v>0</v>
      </c>
      <c r="S43" s="249">
        <f>IF('NW - M5'!F32=0,0,IF('NW - M5'!F32&gt;=0,'NW - M5'!F32))</f>
        <v>0</v>
      </c>
      <c r="T43" s="206" t="str">
        <f t="shared" si="9"/>
        <v/>
      </c>
      <c r="U43" s="250">
        <f t="shared" si="10"/>
        <v>0</v>
      </c>
      <c r="V43" s="249">
        <f>IF('NW - M5'!E32=0,0,IF('NW - M5'!E32&gt;=0,'NW - M5'!E32))</f>
        <v>0</v>
      </c>
      <c r="W43" s="206" t="str">
        <f t="shared" si="11"/>
        <v/>
      </c>
      <c r="X43" s="250">
        <f t="shared" si="12"/>
        <v>0</v>
      </c>
      <c r="Y43" s="249">
        <f>IF('NW - M5'!I32=0,0,IF('NW - M5'!I32&gt;=0,'NW - M5'!I32))</f>
        <v>0</v>
      </c>
      <c r="Z43" s="206" t="str">
        <f t="shared" si="13"/>
        <v/>
      </c>
      <c r="AA43" s="250">
        <f t="shared" si="14"/>
        <v>0</v>
      </c>
      <c r="AB43" s="249">
        <f>IF('NW - M5'!H32=0,0,IF('NW - M5'!H32&gt;=0,'NW - M5'!H32))</f>
        <v>0</v>
      </c>
      <c r="AC43" s="206" t="str">
        <f t="shared" si="15"/>
        <v/>
      </c>
      <c r="AD43" s="1" t="str">
        <f t="shared" si="39"/>
        <v/>
      </c>
      <c r="AE43" s="1" t="str">
        <f t="shared" si="16"/>
        <v/>
      </c>
      <c r="AF43" s="1" t="str">
        <f t="shared" si="17"/>
        <v/>
      </c>
      <c r="AG43" s="1" t="str">
        <f t="shared" si="18"/>
        <v/>
      </c>
      <c r="AH43" s="1" t="str">
        <f t="shared" si="19"/>
        <v/>
      </c>
      <c r="AI43" s="1">
        <f t="shared" si="20"/>
        <v>0</v>
      </c>
      <c r="AJ43" s="106" t="b">
        <f t="shared" si="21"/>
        <v>0</v>
      </c>
      <c r="AK43" s="106" t="b">
        <f t="shared" si="22"/>
        <v>0</v>
      </c>
      <c r="AL43" s="106" t="b">
        <f t="shared" si="23"/>
        <v>0</v>
      </c>
      <c r="AM43" s="106" t="b">
        <f t="shared" si="24"/>
        <v>0</v>
      </c>
      <c r="AN43" s="106" t="b">
        <f t="shared" si="25"/>
        <v>0</v>
      </c>
      <c r="AO43" s="106" t="b">
        <f t="shared" si="40"/>
        <v>0</v>
      </c>
      <c r="AP43" s="106" t="b">
        <f t="shared" si="26"/>
        <v>0</v>
      </c>
      <c r="AQ43" s="106" t="b">
        <f t="shared" si="27"/>
        <v>0</v>
      </c>
      <c r="AR43" s="106" t="b">
        <f t="shared" si="28"/>
        <v>0</v>
      </c>
      <c r="AS43" s="106" t="b">
        <f t="shared" si="29"/>
        <v>0</v>
      </c>
      <c r="AT43" s="148" t="str">
        <f t="shared" si="41"/>
        <v/>
      </c>
      <c r="AU43" s="198" t="e">
        <f t="shared" si="30"/>
        <v>#VALUE!</v>
      </c>
      <c r="AV43" s="204" t="str">
        <f t="shared" si="31"/>
        <v/>
      </c>
      <c r="AW43" s="107" t="str">
        <f t="shared" si="32"/>
        <v/>
      </c>
      <c r="AX43" s="119" t="b">
        <f>IF($J$1=4,2,IF($J$1="4A",2,IF($J$1="4B",2,IF($J$1="4C",2))))</f>
        <v>0</v>
      </c>
      <c r="AY43" s="109" t="str">
        <f t="shared" si="33"/>
        <v/>
      </c>
      <c r="AZ43" s="110"/>
      <c r="BA43" s="111" t="str">
        <f t="shared" si="34"/>
        <v/>
      </c>
      <c r="BB43" s="112"/>
      <c r="BC43" s="113" t="str">
        <f t="shared" si="35"/>
        <v/>
      </c>
      <c r="BD43" s="114">
        <f t="shared" si="36"/>
        <v>0</v>
      </c>
      <c r="BE43" s="118"/>
      <c r="BF43" s="113" t="str">
        <f t="shared" si="37"/>
        <v/>
      </c>
      <c r="BG43" s="116">
        <f t="shared" si="38"/>
        <v>0</v>
      </c>
    </row>
    <row r="44" spans="1:59" ht="15" customHeight="1" x14ac:dyDescent="0.2">
      <c r="A44">
        <v>28</v>
      </c>
      <c r="B44" s="187">
        <f>BEGINBLAD!B33</f>
        <v>0</v>
      </c>
      <c r="C44" s="110" t="str">
        <f>IF('RIO - E4'!C44="","",IF('RIO - E4'!C44&gt;"",'RIO - E4'!C44))</f>
        <v/>
      </c>
      <c r="D44" s="149" t="str">
        <f>IF('NW - M5'!N33="","",IF('NW - M5'!N33="A+","A",IF('NW - M5'!N33="A","A",IF('NW - M5'!N33="B","B",IF('NW - M5'!N33="C","C",IF('NW - M5'!N33="C-","C",IF('NW - M5'!N33="D","D",IF('NW - M5'!N33="E","E"))))))))</f>
        <v/>
      </c>
      <c r="E44" s="110"/>
      <c r="F44" s="192" t="str">
        <f t="shared" si="0"/>
        <v/>
      </c>
      <c r="G44" s="192" t="str">
        <f t="shared" si="1"/>
        <v/>
      </c>
      <c r="H44" s="191" t="str">
        <f t="shared" si="2"/>
        <v/>
      </c>
      <c r="I44" s="193" t="str">
        <f t="shared" si="3"/>
        <v/>
      </c>
      <c r="J44" s="208" t="str">
        <f t="shared" si="4"/>
        <v/>
      </c>
      <c r="K44" s="210" t="str">
        <f t="shared" si="5"/>
        <v/>
      </c>
      <c r="L44" s="189"/>
      <c r="M44" s="110"/>
      <c r="N44" s="117"/>
      <c r="O44" s="250">
        <f t="shared" si="6"/>
        <v>0</v>
      </c>
      <c r="P44" s="249">
        <f>IF('NW - M5'!D33=0,0,IF('NW - M5'!D33&gt;=0,'NW - M5'!D33))</f>
        <v>0</v>
      </c>
      <c r="Q44" s="206" t="str">
        <f t="shared" si="7"/>
        <v/>
      </c>
      <c r="R44" s="250">
        <f t="shared" si="8"/>
        <v>0</v>
      </c>
      <c r="S44" s="249">
        <f>IF('NW - M5'!F33=0,0,IF('NW - M5'!F33&gt;=0,'NW - M5'!F33))</f>
        <v>0</v>
      </c>
      <c r="T44" s="206" t="str">
        <f t="shared" si="9"/>
        <v/>
      </c>
      <c r="U44" s="250">
        <f t="shared" si="10"/>
        <v>0</v>
      </c>
      <c r="V44" s="249">
        <f>IF('NW - M5'!E33=0,0,IF('NW - M5'!E33&gt;=0,'NW - M5'!E33))</f>
        <v>0</v>
      </c>
      <c r="W44" s="206" t="str">
        <f t="shared" si="11"/>
        <v/>
      </c>
      <c r="X44" s="250">
        <f t="shared" si="12"/>
        <v>0</v>
      </c>
      <c r="Y44" s="249">
        <f>IF('NW - M5'!I33=0,0,IF('NW - M5'!I33&gt;=0,'NW - M5'!I33))</f>
        <v>0</v>
      </c>
      <c r="Z44" s="206" t="str">
        <f t="shared" si="13"/>
        <v/>
      </c>
      <c r="AA44" s="250">
        <f t="shared" si="14"/>
        <v>0</v>
      </c>
      <c r="AB44" s="249">
        <f>IF('NW - M5'!H33=0,0,IF('NW - M5'!H33&gt;=0,'NW - M5'!H33))</f>
        <v>0</v>
      </c>
      <c r="AC44" s="206" t="str">
        <f t="shared" si="15"/>
        <v/>
      </c>
      <c r="AD44" s="1" t="str">
        <f t="shared" si="39"/>
        <v/>
      </c>
      <c r="AE44" s="1" t="str">
        <f t="shared" si="16"/>
        <v/>
      </c>
      <c r="AF44" s="1" t="str">
        <f t="shared" si="17"/>
        <v/>
      </c>
      <c r="AG44" s="1" t="str">
        <f t="shared" si="18"/>
        <v/>
      </c>
      <c r="AH44" s="1" t="str">
        <f t="shared" si="19"/>
        <v/>
      </c>
      <c r="AI44" s="1">
        <f t="shared" si="20"/>
        <v>0</v>
      </c>
      <c r="AJ44" s="106" t="b">
        <f t="shared" si="21"/>
        <v>0</v>
      </c>
      <c r="AK44" s="106" t="b">
        <f t="shared" si="22"/>
        <v>0</v>
      </c>
      <c r="AL44" s="106" t="b">
        <f t="shared" si="23"/>
        <v>0</v>
      </c>
      <c r="AM44" s="106" t="b">
        <f t="shared" si="24"/>
        <v>0</v>
      </c>
      <c r="AN44" s="106" t="b">
        <f t="shared" si="25"/>
        <v>0</v>
      </c>
      <c r="AO44" s="106" t="b">
        <f t="shared" si="40"/>
        <v>0</v>
      </c>
      <c r="AP44" s="106" t="b">
        <f t="shared" si="26"/>
        <v>0</v>
      </c>
      <c r="AQ44" s="106" t="b">
        <f t="shared" si="27"/>
        <v>0</v>
      </c>
      <c r="AR44" s="106" t="b">
        <f t="shared" si="28"/>
        <v>0</v>
      </c>
      <c r="AS44" s="106" t="b">
        <f t="shared" si="29"/>
        <v>0</v>
      </c>
      <c r="AT44" s="148" t="str">
        <f t="shared" si="41"/>
        <v/>
      </c>
      <c r="AU44" s="198" t="e">
        <f t="shared" si="30"/>
        <v>#VALUE!</v>
      </c>
      <c r="AV44" s="204" t="str">
        <f t="shared" si="31"/>
        <v/>
      </c>
      <c r="AW44" s="107" t="str">
        <f t="shared" si="32"/>
        <v/>
      </c>
      <c r="AX44" s="119">
        <f>IF($J$1=5,3,IF($J$1="5A",3,IF($J$1="5B",3,IF($J$1="5C",3))))</f>
        <v>3</v>
      </c>
      <c r="AY44" s="109" t="str">
        <f t="shared" si="33"/>
        <v/>
      </c>
      <c r="AZ44" s="110"/>
      <c r="BA44" s="111" t="str">
        <f t="shared" si="34"/>
        <v/>
      </c>
      <c r="BB44" s="112"/>
      <c r="BC44" s="113" t="str">
        <f t="shared" si="35"/>
        <v/>
      </c>
      <c r="BD44" s="114">
        <f t="shared" si="36"/>
        <v>0</v>
      </c>
      <c r="BE44" s="118"/>
      <c r="BF44" s="113" t="str">
        <f t="shared" si="37"/>
        <v/>
      </c>
      <c r="BG44" s="116">
        <f t="shared" si="38"/>
        <v>0</v>
      </c>
    </row>
    <row r="45" spans="1:59" ht="15" customHeight="1" x14ac:dyDescent="0.2">
      <c r="A45">
        <v>29</v>
      </c>
      <c r="B45" s="187">
        <f>BEGINBLAD!B34</f>
        <v>0</v>
      </c>
      <c r="C45" s="110" t="str">
        <f>IF('RIO - E4'!C45="","",IF('RIO - E4'!C45&gt;"",'RIO - E4'!C45))</f>
        <v/>
      </c>
      <c r="D45" s="149" t="str">
        <f>IF('NW - M5'!N34="","",IF('NW - M5'!N34="A+","A",IF('NW - M5'!N34="A","A",IF('NW - M5'!N34="B","B",IF('NW - M5'!N34="C","C",IF('NW - M5'!N34="C-","C",IF('NW - M5'!N34="D","D",IF('NW - M5'!N34="E","E"))))))))</f>
        <v/>
      </c>
      <c r="E45" s="110"/>
      <c r="F45" s="192" t="str">
        <f t="shared" si="0"/>
        <v/>
      </c>
      <c r="G45" s="192" t="str">
        <f t="shared" si="1"/>
        <v/>
      </c>
      <c r="H45" s="191" t="str">
        <f t="shared" si="2"/>
        <v/>
      </c>
      <c r="I45" s="193" t="str">
        <f t="shared" si="3"/>
        <v/>
      </c>
      <c r="J45" s="208" t="str">
        <f t="shared" si="4"/>
        <v/>
      </c>
      <c r="K45" s="210" t="str">
        <f t="shared" si="5"/>
        <v/>
      </c>
      <c r="L45" s="189"/>
      <c r="M45" s="110"/>
      <c r="N45" s="117"/>
      <c r="O45" s="250">
        <f t="shared" si="6"/>
        <v>0</v>
      </c>
      <c r="P45" s="249">
        <f>IF('NW - M5'!D34=0,0,IF('NW - M5'!D34&gt;=0,'NW - M5'!D34))</f>
        <v>0</v>
      </c>
      <c r="Q45" s="206" t="str">
        <f t="shared" si="7"/>
        <v/>
      </c>
      <c r="R45" s="250">
        <f t="shared" si="8"/>
        <v>0</v>
      </c>
      <c r="S45" s="249">
        <f>IF('NW - M5'!F34=0,0,IF('NW - M5'!F34&gt;=0,'NW - M5'!F34))</f>
        <v>0</v>
      </c>
      <c r="T45" s="206" t="str">
        <f t="shared" si="9"/>
        <v/>
      </c>
      <c r="U45" s="250">
        <f t="shared" si="10"/>
        <v>0</v>
      </c>
      <c r="V45" s="249">
        <f>IF('NW - M5'!E34=0,0,IF('NW - M5'!E34&gt;=0,'NW - M5'!E34))</f>
        <v>0</v>
      </c>
      <c r="W45" s="206" t="str">
        <f t="shared" si="11"/>
        <v/>
      </c>
      <c r="X45" s="250">
        <f t="shared" si="12"/>
        <v>0</v>
      </c>
      <c r="Y45" s="249">
        <f>IF('NW - M5'!I34=0,0,IF('NW - M5'!I34&gt;=0,'NW - M5'!I34))</f>
        <v>0</v>
      </c>
      <c r="Z45" s="206" t="str">
        <f t="shared" si="13"/>
        <v/>
      </c>
      <c r="AA45" s="250">
        <f t="shared" si="14"/>
        <v>0</v>
      </c>
      <c r="AB45" s="249">
        <f>IF('NW - M5'!H34=0,0,IF('NW - M5'!H34&gt;=0,'NW - M5'!H34))</f>
        <v>0</v>
      </c>
      <c r="AC45" s="206" t="str">
        <f t="shared" si="15"/>
        <v/>
      </c>
      <c r="AD45" s="1" t="str">
        <f t="shared" si="39"/>
        <v/>
      </c>
      <c r="AE45" s="1" t="str">
        <f t="shared" si="16"/>
        <v/>
      </c>
      <c r="AF45" s="1" t="str">
        <f t="shared" si="17"/>
        <v/>
      </c>
      <c r="AG45" s="1" t="str">
        <f t="shared" si="18"/>
        <v/>
      </c>
      <c r="AH45" s="1" t="str">
        <f t="shared" si="19"/>
        <v/>
      </c>
      <c r="AI45" s="1">
        <f t="shared" si="20"/>
        <v>0</v>
      </c>
      <c r="AJ45" s="106" t="b">
        <f t="shared" si="21"/>
        <v>0</v>
      </c>
      <c r="AK45" s="106" t="b">
        <f t="shared" si="22"/>
        <v>0</v>
      </c>
      <c r="AL45" s="106" t="b">
        <f t="shared" si="23"/>
        <v>0</v>
      </c>
      <c r="AM45" s="106" t="b">
        <f t="shared" si="24"/>
        <v>0</v>
      </c>
      <c r="AN45" s="106" t="b">
        <f t="shared" si="25"/>
        <v>0</v>
      </c>
      <c r="AO45" s="106" t="b">
        <f t="shared" si="40"/>
        <v>0</v>
      </c>
      <c r="AP45" s="106" t="b">
        <f t="shared" si="26"/>
        <v>0</v>
      </c>
      <c r="AQ45" s="106" t="b">
        <f t="shared" si="27"/>
        <v>0</v>
      </c>
      <c r="AR45" s="106" t="b">
        <f t="shared" si="28"/>
        <v>0</v>
      </c>
      <c r="AS45" s="106" t="b">
        <f t="shared" si="29"/>
        <v>0</v>
      </c>
      <c r="AT45" s="148" t="str">
        <f t="shared" si="41"/>
        <v/>
      </c>
      <c r="AU45" s="198" t="e">
        <f t="shared" si="30"/>
        <v>#VALUE!</v>
      </c>
      <c r="AV45" s="204" t="str">
        <f t="shared" si="31"/>
        <v/>
      </c>
      <c r="AW45" s="107" t="str">
        <f t="shared" si="32"/>
        <v/>
      </c>
      <c r="AX45" s="119" t="b">
        <f>IF($J$1=6,4,IF($J$1="6A",4,IF($J$1="6B",4,IF($J$1="6C",4))))</f>
        <v>0</v>
      </c>
      <c r="AY45" s="109" t="str">
        <f t="shared" si="33"/>
        <v/>
      </c>
      <c r="AZ45" s="110"/>
      <c r="BA45" s="111" t="str">
        <f t="shared" si="34"/>
        <v/>
      </c>
      <c r="BB45" s="112"/>
      <c r="BC45" s="113" t="str">
        <f t="shared" si="35"/>
        <v/>
      </c>
      <c r="BD45" s="114">
        <f t="shared" si="36"/>
        <v>0</v>
      </c>
      <c r="BE45" s="118"/>
      <c r="BF45" s="113" t="str">
        <f t="shared" si="37"/>
        <v/>
      </c>
      <c r="BG45" s="116">
        <f t="shared" si="38"/>
        <v>0</v>
      </c>
    </row>
    <row r="46" spans="1:59" ht="15" customHeight="1" x14ac:dyDescent="0.2">
      <c r="A46">
        <v>30</v>
      </c>
      <c r="B46" s="187">
        <f>BEGINBLAD!B35</f>
        <v>0</v>
      </c>
      <c r="C46" s="110" t="str">
        <f>IF('RIO - E4'!C46="","",IF('RIO - E4'!C46&gt;"",'RIO - E4'!C46))</f>
        <v/>
      </c>
      <c r="D46" s="149" t="str">
        <f>IF('NW - M5'!N35="","",IF('NW - M5'!N35="A+","A",IF('NW - M5'!N35="A","A",IF('NW - M5'!N35="B","B",IF('NW - M5'!N35="C","C",IF('NW - M5'!N35="C-","C",IF('NW - M5'!N35="D","D",IF('NW - M5'!N35="E","E"))))))))</f>
        <v/>
      </c>
      <c r="E46" s="110"/>
      <c r="F46" s="192" t="str">
        <f t="shared" si="0"/>
        <v/>
      </c>
      <c r="G46" s="192" t="str">
        <f t="shared" si="1"/>
        <v/>
      </c>
      <c r="H46" s="191" t="str">
        <f t="shared" si="2"/>
        <v/>
      </c>
      <c r="I46" s="193" t="str">
        <f t="shared" si="3"/>
        <v/>
      </c>
      <c r="J46" s="208" t="str">
        <f t="shared" si="4"/>
        <v/>
      </c>
      <c r="K46" s="210" t="str">
        <f t="shared" si="5"/>
        <v/>
      </c>
      <c r="L46" s="189"/>
      <c r="M46" s="110"/>
      <c r="N46" s="117"/>
      <c r="O46" s="250">
        <f t="shared" si="6"/>
        <v>0</v>
      </c>
      <c r="P46" s="249">
        <f>IF('NW - M5'!D35=0,0,IF('NW - M5'!D35&gt;=0,'NW - M5'!D35))</f>
        <v>0</v>
      </c>
      <c r="Q46" s="206" t="str">
        <f t="shared" si="7"/>
        <v/>
      </c>
      <c r="R46" s="250">
        <f t="shared" si="8"/>
        <v>0</v>
      </c>
      <c r="S46" s="249">
        <f>IF('NW - M5'!F35=0,0,IF('NW - M5'!F35&gt;=0,'NW - M5'!F35))</f>
        <v>0</v>
      </c>
      <c r="T46" s="206" t="str">
        <f t="shared" si="9"/>
        <v/>
      </c>
      <c r="U46" s="250">
        <f t="shared" si="10"/>
        <v>0</v>
      </c>
      <c r="V46" s="249">
        <f>IF('NW - M5'!E35=0,0,IF('NW - M5'!E35&gt;=0,'NW - M5'!E35))</f>
        <v>0</v>
      </c>
      <c r="W46" s="206" t="str">
        <f t="shared" si="11"/>
        <v/>
      </c>
      <c r="X46" s="250">
        <f t="shared" si="12"/>
        <v>0</v>
      </c>
      <c r="Y46" s="249">
        <f>IF('NW - M5'!I35=0,0,IF('NW - M5'!I35&gt;=0,'NW - M5'!I35))</f>
        <v>0</v>
      </c>
      <c r="Z46" s="206" t="str">
        <f t="shared" si="13"/>
        <v/>
      </c>
      <c r="AA46" s="250">
        <f t="shared" si="14"/>
        <v>0</v>
      </c>
      <c r="AB46" s="249">
        <f>IF('NW - M5'!H35=0,0,IF('NW - M5'!H35&gt;=0,'NW - M5'!H35))</f>
        <v>0</v>
      </c>
      <c r="AC46" s="206" t="str">
        <f t="shared" si="15"/>
        <v/>
      </c>
      <c r="AD46" s="1" t="str">
        <f t="shared" si="39"/>
        <v/>
      </c>
      <c r="AE46" s="1" t="str">
        <f t="shared" si="16"/>
        <v/>
      </c>
      <c r="AF46" s="1" t="str">
        <f t="shared" si="17"/>
        <v/>
      </c>
      <c r="AG46" s="1" t="str">
        <f t="shared" si="18"/>
        <v/>
      </c>
      <c r="AH46" s="1" t="str">
        <f t="shared" si="19"/>
        <v/>
      </c>
      <c r="AI46" s="1">
        <f t="shared" si="20"/>
        <v>0</v>
      </c>
      <c r="AJ46" s="106" t="b">
        <f t="shared" si="21"/>
        <v>0</v>
      </c>
      <c r="AK46" s="106" t="b">
        <f t="shared" si="22"/>
        <v>0</v>
      </c>
      <c r="AL46" s="106" t="b">
        <f t="shared" si="23"/>
        <v>0</v>
      </c>
      <c r="AM46" s="106" t="b">
        <f t="shared" si="24"/>
        <v>0</v>
      </c>
      <c r="AN46" s="106" t="b">
        <f t="shared" si="25"/>
        <v>0</v>
      </c>
      <c r="AO46" s="106" t="b">
        <f t="shared" si="40"/>
        <v>0</v>
      </c>
      <c r="AP46" s="106" t="b">
        <f t="shared" si="26"/>
        <v>0</v>
      </c>
      <c r="AQ46" s="106" t="b">
        <f t="shared" si="27"/>
        <v>0</v>
      </c>
      <c r="AR46" s="106" t="b">
        <f t="shared" si="28"/>
        <v>0</v>
      </c>
      <c r="AS46" s="106" t="b">
        <f t="shared" si="29"/>
        <v>0</v>
      </c>
      <c r="AT46" s="148" t="str">
        <f t="shared" si="41"/>
        <v/>
      </c>
      <c r="AU46" s="198" t="e">
        <f t="shared" si="30"/>
        <v>#VALUE!</v>
      </c>
      <c r="AV46" s="204" t="str">
        <f t="shared" si="31"/>
        <v/>
      </c>
      <c r="AW46" s="107" t="str">
        <f t="shared" si="32"/>
        <v/>
      </c>
      <c r="AX46" s="119" t="b">
        <f>IF($J$1=7,5,IF($J$1="7A",5,IF($J$1="7B",5,IF($J$1="7C",5))))</f>
        <v>0</v>
      </c>
      <c r="AY46" s="109" t="str">
        <f t="shared" si="33"/>
        <v/>
      </c>
      <c r="AZ46" s="110"/>
      <c r="BA46" s="111" t="str">
        <f t="shared" si="34"/>
        <v/>
      </c>
      <c r="BB46" s="112"/>
      <c r="BC46" s="113" t="str">
        <f t="shared" si="35"/>
        <v/>
      </c>
      <c r="BD46" s="114">
        <f t="shared" si="36"/>
        <v>0</v>
      </c>
      <c r="BE46" s="118"/>
      <c r="BF46" s="113" t="str">
        <f t="shared" si="37"/>
        <v/>
      </c>
      <c r="BG46" s="116">
        <f t="shared" si="38"/>
        <v>0</v>
      </c>
    </row>
    <row r="47" spans="1:59" ht="15" customHeight="1" x14ac:dyDescent="0.2">
      <c r="A47">
        <v>31</v>
      </c>
      <c r="B47" s="187">
        <f>BEGINBLAD!B36</f>
        <v>0</v>
      </c>
      <c r="C47" s="110" t="str">
        <f>IF('RIO - E4'!C47="","",IF('RIO - E4'!C47&gt;"",'RIO - E4'!C47))</f>
        <v/>
      </c>
      <c r="D47" s="149" t="str">
        <f>IF('NW - M5'!N36="","",IF('NW - M5'!N36="A+","A",IF('NW - M5'!N36="A","A",IF('NW - M5'!N36="B","B",IF('NW - M5'!N36="C","C",IF('NW - M5'!N36="C-","C",IF('NW - M5'!N36="D","D",IF('NW - M5'!N36="E","E"))))))))</f>
        <v/>
      </c>
      <c r="E47" s="110"/>
      <c r="F47" s="192" t="str">
        <f t="shared" si="0"/>
        <v/>
      </c>
      <c r="G47" s="192" t="str">
        <f t="shared" si="1"/>
        <v/>
      </c>
      <c r="H47" s="191" t="str">
        <f t="shared" si="2"/>
        <v/>
      </c>
      <c r="I47" s="193" t="str">
        <f t="shared" si="3"/>
        <v/>
      </c>
      <c r="J47" s="208" t="str">
        <f t="shared" si="4"/>
        <v/>
      </c>
      <c r="K47" s="210" t="str">
        <f t="shared" si="5"/>
        <v/>
      </c>
      <c r="L47" s="189"/>
      <c r="M47" s="110"/>
      <c r="N47" s="117"/>
      <c r="O47" s="250">
        <f t="shared" si="6"/>
        <v>0</v>
      </c>
      <c r="P47" s="249">
        <f>IF('NW - M5'!D36=0,0,IF('NW - M5'!D36&gt;=0,'NW - M5'!D36))</f>
        <v>0</v>
      </c>
      <c r="Q47" s="206" t="str">
        <f t="shared" si="7"/>
        <v/>
      </c>
      <c r="R47" s="250">
        <f t="shared" si="8"/>
        <v>0</v>
      </c>
      <c r="S47" s="249">
        <f>IF('NW - M5'!F36=0,0,IF('NW - M5'!F36&gt;=0,'NW - M5'!F36))</f>
        <v>0</v>
      </c>
      <c r="T47" s="206" t="str">
        <f t="shared" si="9"/>
        <v/>
      </c>
      <c r="U47" s="250">
        <f t="shared" si="10"/>
        <v>0</v>
      </c>
      <c r="V47" s="249">
        <f>IF('NW - M5'!E36=0,0,IF('NW - M5'!E36&gt;=0,'NW - M5'!E36))</f>
        <v>0</v>
      </c>
      <c r="W47" s="206" t="str">
        <f t="shared" si="11"/>
        <v/>
      </c>
      <c r="X47" s="250">
        <f t="shared" si="12"/>
        <v>0</v>
      </c>
      <c r="Y47" s="249">
        <f>IF('NW - M5'!I36=0,0,IF('NW - M5'!I36&gt;=0,'NW - M5'!I36))</f>
        <v>0</v>
      </c>
      <c r="Z47" s="206" t="str">
        <f t="shared" si="13"/>
        <v/>
      </c>
      <c r="AA47" s="250">
        <f t="shared" si="14"/>
        <v>0</v>
      </c>
      <c r="AB47" s="249">
        <f>IF('NW - M5'!H36=0,0,IF('NW - M5'!H36&gt;=0,'NW - M5'!H36))</f>
        <v>0</v>
      </c>
      <c r="AC47" s="206" t="str">
        <f t="shared" si="15"/>
        <v/>
      </c>
      <c r="AD47" s="1" t="str">
        <f t="shared" si="39"/>
        <v/>
      </c>
      <c r="AE47" s="1" t="str">
        <f t="shared" si="16"/>
        <v/>
      </c>
      <c r="AF47" s="1" t="str">
        <f t="shared" si="17"/>
        <v/>
      </c>
      <c r="AG47" s="1" t="str">
        <f t="shared" si="18"/>
        <v/>
      </c>
      <c r="AH47" s="1" t="str">
        <f t="shared" si="19"/>
        <v/>
      </c>
      <c r="AI47" s="1">
        <f t="shared" si="20"/>
        <v>0</v>
      </c>
      <c r="AJ47" s="106" t="b">
        <f t="shared" si="21"/>
        <v>0</v>
      </c>
      <c r="AK47" s="106" t="b">
        <f t="shared" si="22"/>
        <v>0</v>
      </c>
      <c r="AL47" s="106" t="b">
        <f t="shared" si="23"/>
        <v>0</v>
      </c>
      <c r="AM47" s="106" t="b">
        <f t="shared" si="24"/>
        <v>0</v>
      </c>
      <c r="AN47" s="106" t="b">
        <f t="shared" si="25"/>
        <v>0</v>
      </c>
      <c r="AO47" s="106" t="b">
        <f t="shared" si="40"/>
        <v>0</v>
      </c>
      <c r="AP47" s="106" t="b">
        <f t="shared" si="26"/>
        <v>0</v>
      </c>
      <c r="AQ47" s="106" t="b">
        <f t="shared" si="27"/>
        <v>0</v>
      </c>
      <c r="AR47" s="106" t="b">
        <f t="shared" si="28"/>
        <v>0</v>
      </c>
      <c r="AS47" s="106" t="b">
        <f t="shared" si="29"/>
        <v>0</v>
      </c>
      <c r="AT47" s="148" t="str">
        <f t="shared" si="41"/>
        <v/>
      </c>
      <c r="AU47" s="198" t="e">
        <f t="shared" si="30"/>
        <v>#VALUE!</v>
      </c>
      <c r="AV47" s="204" t="str">
        <f t="shared" si="31"/>
        <v/>
      </c>
      <c r="AW47" s="107" t="str">
        <f t="shared" si="32"/>
        <v/>
      </c>
      <c r="AX47" s="119" t="b">
        <f>IF($J$1=8,6,IF($J$1="8A",6,IF($J$1="8B",6,IF($J$1="8C",6))))</f>
        <v>0</v>
      </c>
      <c r="AY47" s="109" t="str">
        <f t="shared" si="33"/>
        <v/>
      </c>
      <c r="AZ47" s="110"/>
      <c r="BA47" s="111" t="str">
        <f t="shared" si="34"/>
        <v/>
      </c>
      <c r="BB47" s="112"/>
      <c r="BC47" s="113" t="str">
        <f t="shared" si="35"/>
        <v/>
      </c>
      <c r="BD47" s="114">
        <f t="shared" si="36"/>
        <v>0</v>
      </c>
      <c r="BE47" s="118"/>
      <c r="BF47" s="113" t="str">
        <f t="shared" si="37"/>
        <v/>
      </c>
      <c r="BG47" s="116">
        <f t="shared" si="38"/>
        <v>0</v>
      </c>
    </row>
    <row r="48" spans="1:59" ht="15" customHeight="1" x14ac:dyDescent="0.2">
      <c r="A48">
        <v>32</v>
      </c>
      <c r="B48" s="187">
        <f>BEGINBLAD!B37</f>
        <v>0</v>
      </c>
      <c r="C48" s="110" t="str">
        <f>IF('RIO - E4'!C48="","",IF('RIO - E4'!C48&gt;"",'RIO - E4'!C48))</f>
        <v/>
      </c>
      <c r="D48" s="149" t="str">
        <f>IF('NW - M5'!N37="","",IF('NW - M5'!N37="A+","A",IF('NW - M5'!N37="A","A",IF('NW - M5'!N37="B","B",IF('NW - M5'!N37="C","C",IF('NW - M5'!N37="C-","C",IF('NW - M5'!N37="D","D",IF('NW - M5'!N37="E","E"))))))))</f>
        <v/>
      </c>
      <c r="E48" s="110"/>
      <c r="F48" s="192" t="str">
        <f t="shared" si="0"/>
        <v/>
      </c>
      <c r="G48" s="192" t="str">
        <f t="shared" si="1"/>
        <v/>
      </c>
      <c r="H48" s="191" t="str">
        <f t="shared" si="2"/>
        <v/>
      </c>
      <c r="I48" s="193" t="str">
        <f t="shared" si="3"/>
        <v/>
      </c>
      <c r="J48" s="208" t="str">
        <f t="shared" si="4"/>
        <v/>
      </c>
      <c r="K48" s="210" t="str">
        <f t="shared" si="5"/>
        <v/>
      </c>
      <c r="L48" s="189"/>
      <c r="M48" s="110"/>
      <c r="N48" s="117"/>
      <c r="O48" s="250">
        <f t="shared" si="6"/>
        <v>0</v>
      </c>
      <c r="P48" s="249">
        <f>IF('NW - M5'!D37=0,0,IF('NW - M5'!D37&gt;=0,'NW - M5'!D37))</f>
        <v>0</v>
      </c>
      <c r="Q48" s="206" t="str">
        <f t="shared" si="7"/>
        <v/>
      </c>
      <c r="R48" s="250">
        <f t="shared" si="8"/>
        <v>0</v>
      </c>
      <c r="S48" s="249">
        <f>IF('NW - M5'!F37=0,0,IF('NW - M5'!F37&gt;=0,'NW - M5'!F37))</f>
        <v>0</v>
      </c>
      <c r="T48" s="206" t="str">
        <f t="shared" si="9"/>
        <v/>
      </c>
      <c r="U48" s="250">
        <f t="shared" si="10"/>
        <v>0</v>
      </c>
      <c r="V48" s="249">
        <f>IF('NW - M5'!E37=0,0,IF('NW - M5'!E37&gt;=0,'NW - M5'!E37))</f>
        <v>0</v>
      </c>
      <c r="W48" s="206" t="str">
        <f t="shared" si="11"/>
        <v/>
      </c>
      <c r="X48" s="250">
        <f t="shared" si="12"/>
        <v>0</v>
      </c>
      <c r="Y48" s="249">
        <f>IF('NW - M5'!I37=0,0,IF('NW - M5'!I37&gt;=0,'NW - M5'!I37))</f>
        <v>0</v>
      </c>
      <c r="Z48" s="206" t="str">
        <f t="shared" si="13"/>
        <v/>
      </c>
      <c r="AA48" s="250">
        <f t="shared" si="14"/>
        <v>0</v>
      </c>
      <c r="AB48" s="249">
        <f>IF('NW - M5'!H37=0,0,IF('NW - M5'!H37&gt;=0,'NW - M5'!H37))</f>
        <v>0</v>
      </c>
      <c r="AC48" s="206" t="str">
        <f t="shared" si="15"/>
        <v/>
      </c>
      <c r="AD48" s="1" t="str">
        <f t="shared" si="39"/>
        <v/>
      </c>
      <c r="AE48" s="1" t="str">
        <f t="shared" si="16"/>
        <v/>
      </c>
      <c r="AF48" s="1" t="str">
        <f t="shared" si="17"/>
        <v/>
      </c>
      <c r="AG48" s="1" t="str">
        <f t="shared" si="18"/>
        <v/>
      </c>
      <c r="AH48" s="1" t="str">
        <f t="shared" si="19"/>
        <v/>
      </c>
      <c r="AI48" s="1">
        <f t="shared" si="20"/>
        <v>0</v>
      </c>
      <c r="AJ48" s="106" t="b">
        <f t="shared" si="21"/>
        <v>0</v>
      </c>
      <c r="AK48" s="106" t="b">
        <f t="shared" si="22"/>
        <v>0</v>
      </c>
      <c r="AL48" s="106" t="b">
        <f t="shared" si="23"/>
        <v>0</v>
      </c>
      <c r="AM48" s="106" t="b">
        <f t="shared" si="24"/>
        <v>0</v>
      </c>
      <c r="AN48" s="106" t="b">
        <f t="shared" si="25"/>
        <v>0</v>
      </c>
      <c r="AO48" s="106" t="b">
        <f t="shared" si="40"/>
        <v>0</v>
      </c>
      <c r="AP48" s="106" t="b">
        <f t="shared" si="26"/>
        <v>0</v>
      </c>
      <c r="AQ48" s="106" t="b">
        <f t="shared" si="27"/>
        <v>0</v>
      </c>
      <c r="AR48" s="106" t="b">
        <f t="shared" si="28"/>
        <v>0</v>
      </c>
      <c r="AS48" s="106" t="b">
        <f t="shared" si="29"/>
        <v>0</v>
      </c>
      <c r="AT48" s="148" t="str">
        <f t="shared" si="41"/>
        <v/>
      </c>
      <c r="AU48" s="198" t="e">
        <f t="shared" si="30"/>
        <v>#VALUE!</v>
      </c>
      <c r="AV48" s="204" t="str">
        <f t="shared" si="31"/>
        <v/>
      </c>
      <c r="AW48" s="107" t="str">
        <f t="shared" si="32"/>
        <v/>
      </c>
      <c r="AX48" s="108"/>
      <c r="AY48" s="109" t="str">
        <f t="shared" si="33"/>
        <v/>
      </c>
      <c r="AZ48" s="110"/>
      <c r="BA48" s="111" t="str">
        <f t="shared" si="34"/>
        <v/>
      </c>
      <c r="BB48" s="112"/>
      <c r="BC48" s="113" t="str">
        <f t="shared" si="35"/>
        <v/>
      </c>
      <c r="BD48" s="114">
        <f t="shared" si="36"/>
        <v>0</v>
      </c>
      <c r="BE48" s="118"/>
      <c r="BF48" s="113" t="str">
        <f t="shared" si="37"/>
        <v/>
      </c>
      <c r="BG48" s="116">
        <f t="shared" si="38"/>
        <v>0</v>
      </c>
    </row>
    <row r="49" spans="1:59" ht="15" customHeight="1" x14ac:dyDescent="0.2">
      <c r="A49">
        <v>33</v>
      </c>
      <c r="B49" s="187">
        <f>BEGINBLAD!B38</f>
        <v>0</v>
      </c>
      <c r="C49" s="110" t="str">
        <f>IF('RIO - E4'!C49="","",IF('RIO - E4'!C49&gt;"",'RIO - E4'!C49))</f>
        <v/>
      </c>
      <c r="D49" s="149" t="str">
        <f>IF('NW - M5'!N38="","",IF('NW - M5'!N38="A+","A",IF('NW - M5'!N38="A","A",IF('NW - M5'!N38="B","B",IF('NW - M5'!N38="C","C",IF('NW - M5'!N38="C-","C",IF('NW - M5'!N38="D","D",IF('NW - M5'!N38="E","E"))))))))</f>
        <v/>
      </c>
      <c r="E49" s="110"/>
      <c r="F49" s="192" t="str">
        <f t="shared" si="0"/>
        <v/>
      </c>
      <c r="G49" s="192" t="str">
        <f t="shared" si="1"/>
        <v/>
      </c>
      <c r="H49" s="191" t="str">
        <f t="shared" si="2"/>
        <v/>
      </c>
      <c r="I49" s="193" t="str">
        <f t="shared" si="3"/>
        <v/>
      </c>
      <c r="J49" s="208" t="str">
        <f t="shared" si="4"/>
        <v/>
      </c>
      <c r="K49" s="210" t="str">
        <f t="shared" si="5"/>
        <v/>
      </c>
      <c r="L49" s="189"/>
      <c r="M49" s="110"/>
      <c r="N49" s="117"/>
      <c r="O49" s="250">
        <f t="shared" si="6"/>
        <v>0</v>
      </c>
      <c r="P49" s="249">
        <f>IF('NW - M5'!D38=0,0,IF('NW - M5'!D38&gt;=0,'NW - M5'!D38))</f>
        <v>0</v>
      </c>
      <c r="Q49" s="206" t="str">
        <f t="shared" si="7"/>
        <v/>
      </c>
      <c r="R49" s="250">
        <f t="shared" si="8"/>
        <v>0</v>
      </c>
      <c r="S49" s="249">
        <f>IF('NW - M5'!F38=0,0,IF('NW - M5'!F38&gt;=0,'NW - M5'!F38))</f>
        <v>0</v>
      </c>
      <c r="T49" s="206" t="str">
        <f t="shared" si="9"/>
        <v/>
      </c>
      <c r="U49" s="250">
        <f t="shared" si="10"/>
        <v>0</v>
      </c>
      <c r="V49" s="249">
        <f>IF('NW - M5'!E38=0,0,IF('NW - M5'!E38&gt;=0,'NW - M5'!E38))</f>
        <v>0</v>
      </c>
      <c r="W49" s="206" t="str">
        <f t="shared" si="11"/>
        <v/>
      </c>
      <c r="X49" s="250">
        <f t="shared" si="12"/>
        <v>0</v>
      </c>
      <c r="Y49" s="249">
        <f>IF('NW - M5'!I38=0,0,IF('NW - M5'!I38&gt;=0,'NW - M5'!I38))</f>
        <v>0</v>
      </c>
      <c r="Z49" s="206" t="str">
        <f t="shared" si="13"/>
        <v/>
      </c>
      <c r="AA49" s="250">
        <f t="shared" si="14"/>
        <v>0</v>
      </c>
      <c r="AB49" s="249">
        <f>IF('NW - M5'!H38=0,0,IF('NW - M5'!H38&gt;=0,'NW - M5'!H38))</f>
        <v>0</v>
      </c>
      <c r="AC49" s="206" t="str">
        <f t="shared" si="15"/>
        <v/>
      </c>
      <c r="AD49" s="1" t="str">
        <f t="shared" si="39"/>
        <v/>
      </c>
      <c r="AE49" s="1" t="str">
        <f t="shared" si="16"/>
        <v/>
      </c>
      <c r="AF49" s="1" t="str">
        <f t="shared" si="17"/>
        <v/>
      </c>
      <c r="AG49" s="1" t="str">
        <f t="shared" si="18"/>
        <v/>
      </c>
      <c r="AH49" s="1" t="str">
        <f t="shared" si="19"/>
        <v/>
      </c>
      <c r="AI49" s="1">
        <f t="shared" si="20"/>
        <v>0</v>
      </c>
      <c r="AJ49" s="106" t="b">
        <f t="shared" si="21"/>
        <v>0</v>
      </c>
      <c r="AK49" s="106" t="b">
        <f t="shared" si="22"/>
        <v>0</v>
      </c>
      <c r="AL49" s="106" t="b">
        <f t="shared" si="23"/>
        <v>0</v>
      </c>
      <c r="AM49" s="106" t="b">
        <f t="shared" si="24"/>
        <v>0</v>
      </c>
      <c r="AN49" s="106" t="b">
        <f t="shared" si="25"/>
        <v>0</v>
      </c>
      <c r="AO49" s="106" t="b">
        <f t="shared" si="40"/>
        <v>0</v>
      </c>
      <c r="AP49" s="106" t="b">
        <f t="shared" si="26"/>
        <v>0</v>
      </c>
      <c r="AQ49" s="106" t="b">
        <f t="shared" si="27"/>
        <v>0</v>
      </c>
      <c r="AR49" s="106" t="b">
        <f t="shared" si="28"/>
        <v>0</v>
      </c>
      <c r="AS49" s="106" t="b">
        <f t="shared" si="29"/>
        <v>0</v>
      </c>
      <c r="AT49" s="148" t="str">
        <f t="shared" si="41"/>
        <v/>
      </c>
      <c r="AU49" s="198" t="e">
        <f t="shared" si="30"/>
        <v>#VALUE!</v>
      </c>
      <c r="AV49" s="204" t="str">
        <f t="shared" si="31"/>
        <v/>
      </c>
      <c r="AW49" s="107" t="str">
        <f t="shared" si="32"/>
        <v/>
      </c>
      <c r="AX49" s="108"/>
      <c r="AY49" s="109" t="str">
        <f t="shared" si="33"/>
        <v/>
      </c>
      <c r="AZ49" s="110"/>
      <c r="BA49" s="111" t="str">
        <f t="shared" si="34"/>
        <v/>
      </c>
      <c r="BB49" s="112"/>
      <c r="BC49" s="113" t="str">
        <f t="shared" si="35"/>
        <v/>
      </c>
      <c r="BD49" s="114">
        <f t="shared" si="36"/>
        <v>0</v>
      </c>
      <c r="BE49" s="118"/>
      <c r="BF49" s="113" t="str">
        <f t="shared" si="37"/>
        <v/>
      </c>
      <c r="BG49" s="116">
        <f t="shared" si="38"/>
        <v>0</v>
      </c>
    </row>
    <row r="50" spans="1:59" ht="15" customHeight="1" x14ac:dyDescent="0.2">
      <c r="A50">
        <v>34</v>
      </c>
      <c r="B50" s="187">
        <f>BEGINBLAD!B39</f>
        <v>0</v>
      </c>
      <c r="C50" s="110" t="str">
        <f>IF('RIO - E4'!C50="","",IF('RIO - E4'!C50&gt;"",'RIO - E4'!C50))</f>
        <v/>
      </c>
      <c r="D50" s="149" t="str">
        <f>IF('NW - M5'!N39="","",IF('NW - M5'!N39="A+","A",IF('NW - M5'!N39="A","A",IF('NW - M5'!N39="B","B",IF('NW - M5'!N39="C","C",IF('NW - M5'!N39="C-","C",IF('NW - M5'!N39="D","D",IF('NW - M5'!N39="E","E"))))))))</f>
        <v/>
      </c>
      <c r="E50" s="110"/>
      <c r="F50" s="192" t="str">
        <f t="shared" si="0"/>
        <v/>
      </c>
      <c r="G50" s="192" t="str">
        <f t="shared" si="1"/>
        <v/>
      </c>
      <c r="H50" s="191" t="str">
        <f t="shared" si="2"/>
        <v/>
      </c>
      <c r="I50" s="193" t="str">
        <f t="shared" si="3"/>
        <v/>
      </c>
      <c r="J50" s="208" t="str">
        <f t="shared" si="4"/>
        <v/>
      </c>
      <c r="K50" s="210" t="str">
        <f t="shared" si="5"/>
        <v/>
      </c>
      <c r="L50" s="189"/>
      <c r="M50" s="120"/>
      <c r="N50" s="117"/>
      <c r="O50" s="250">
        <f t="shared" si="6"/>
        <v>0</v>
      </c>
      <c r="P50" s="249">
        <f>IF('NW - M5'!D39=0,0,IF('NW - M5'!D39&gt;=0,'NW - M5'!D39))</f>
        <v>0</v>
      </c>
      <c r="Q50" s="206" t="str">
        <f t="shared" si="7"/>
        <v/>
      </c>
      <c r="R50" s="250">
        <f t="shared" si="8"/>
        <v>0</v>
      </c>
      <c r="S50" s="249">
        <f>IF('NW - M5'!F39=0,0,IF('NW - M5'!F39&gt;=0,'NW - M5'!F39))</f>
        <v>0</v>
      </c>
      <c r="T50" s="206" t="str">
        <f t="shared" si="9"/>
        <v/>
      </c>
      <c r="U50" s="250">
        <f t="shared" si="10"/>
        <v>0</v>
      </c>
      <c r="V50" s="249">
        <f>IF('NW - M5'!E39=0,0,IF('NW - M5'!E39&gt;=0,'NW - M5'!E39))</f>
        <v>0</v>
      </c>
      <c r="W50" s="206" t="str">
        <f t="shared" si="11"/>
        <v/>
      </c>
      <c r="X50" s="250">
        <f t="shared" si="12"/>
        <v>0</v>
      </c>
      <c r="Y50" s="249">
        <f>IF('NW - M5'!I39=0,0,IF('NW - M5'!I39&gt;=0,'NW - M5'!I39))</f>
        <v>0</v>
      </c>
      <c r="Z50" s="206" t="str">
        <f t="shared" si="13"/>
        <v/>
      </c>
      <c r="AA50" s="250">
        <f t="shared" si="14"/>
        <v>0</v>
      </c>
      <c r="AB50" s="249">
        <f>IF('NW - M5'!H39=0,0,IF('NW - M5'!H39&gt;=0,'NW - M5'!H39))</f>
        <v>0</v>
      </c>
      <c r="AC50" s="206" t="str">
        <f t="shared" si="15"/>
        <v/>
      </c>
      <c r="AD50" s="1" t="str">
        <f t="shared" si="39"/>
        <v/>
      </c>
      <c r="AE50" s="1" t="str">
        <f t="shared" si="16"/>
        <v/>
      </c>
      <c r="AF50" s="1" t="str">
        <f t="shared" si="17"/>
        <v/>
      </c>
      <c r="AG50" s="1" t="str">
        <f t="shared" si="18"/>
        <v/>
      </c>
      <c r="AH50" s="1" t="str">
        <f t="shared" si="19"/>
        <v/>
      </c>
      <c r="AI50" s="1">
        <f t="shared" si="20"/>
        <v>0</v>
      </c>
      <c r="AJ50" s="106" t="b">
        <f t="shared" si="21"/>
        <v>0</v>
      </c>
      <c r="AK50" s="106" t="b">
        <f t="shared" si="22"/>
        <v>0</v>
      </c>
      <c r="AL50" s="106" t="b">
        <f t="shared" si="23"/>
        <v>0</v>
      </c>
      <c r="AM50" s="106" t="b">
        <f t="shared" si="24"/>
        <v>0</v>
      </c>
      <c r="AN50" s="106" t="b">
        <f t="shared" si="25"/>
        <v>0</v>
      </c>
      <c r="AO50" s="106" t="b">
        <f t="shared" si="40"/>
        <v>0</v>
      </c>
      <c r="AP50" s="106" t="b">
        <f t="shared" si="26"/>
        <v>0</v>
      </c>
      <c r="AQ50" s="106" t="b">
        <f t="shared" si="27"/>
        <v>0</v>
      </c>
      <c r="AR50" s="106" t="b">
        <f t="shared" si="28"/>
        <v>0</v>
      </c>
      <c r="AS50" s="106" t="b">
        <f t="shared" si="29"/>
        <v>0</v>
      </c>
      <c r="AT50" s="148" t="str">
        <f t="shared" si="41"/>
        <v/>
      </c>
      <c r="AU50" s="198" t="e">
        <f t="shared" si="30"/>
        <v>#VALUE!</v>
      </c>
      <c r="AV50" s="204" t="str">
        <f t="shared" si="31"/>
        <v/>
      </c>
      <c r="AW50" s="107" t="str">
        <f t="shared" si="32"/>
        <v/>
      </c>
      <c r="AX50" s="121"/>
      <c r="AY50" s="109" t="str">
        <f t="shared" si="33"/>
        <v/>
      </c>
      <c r="AZ50" s="110"/>
      <c r="BA50" s="111" t="str">
        <f t="shared" si="34"/>
        <v/>
      </c>
      <c r="BB50" s="112"/>
      <c r="BC50" s="113" t="str">
        <f t="shared" si="35"/>
        <v/>
      </c>
      <c r="BD50" s="114">
        <f t="shared" si="36"/>
        <v>0</v>
      </c>
      <c r="BE50" s="118"/>
      <c r="BF50" s="113" t="str">
        <f t="shared" si="37"/>
        <v/>
      </c>
      <c r="BG50" s="116">
        <f t="shared" si="38"/>
        <v>0</v>
      </c>
    </row>
    <row r="51" spans="1:59" ht="15" customHeight="1" x14ac:dyDescent="0.2">
      <c r="A51">
        <v>35</v>
      </c>
      <c r="B51" s="187">
        <f>BEGINBLAD!B40</f>
        <v>0</v>
      </c>
      <c r="C51" s="110" t="str">
        <f>IF('RIO - E4'!C51="","",IF('RIO - E4'!C51&gt;"",'RIO - E4'!C51))</f>
        <v/>
      </c>
      <c r="D51" s="149" t="str">
        <f>IF('NW - M5'!N40="","",IF('NW - M5'!N40="A+","A",IF('NW - M5'!N40="A","A",IF('NW - M5'!N40="B","B",IF('NW - M5'!N40="C","C",IF('NW - M5'!N40="C-","C",IF('NW - M5'!N40="D","D",IF('NW - M5'!N40="E","E"))))))))</f>
        <v/>
      </c>
      <c r="E51" s="110"/>
      <c r="F51" s="192" t="str">
        <f t="shared" si="0"/>
        <v/>
      </c>
      <c r="G51" s="192" t="str">
        <f t="shared" si="1"/>
        <v/>
      </c>
      <c r="H51" s="191" t="str">
        <f t="shared" si="2"/>
        <v/>
      </c>
      <c r="I51" s="193" t="str">
        <f t="shared" si="3"/>
        <v/>
      </c>
      <c r="J51" s="208" t="str">
        <f t="shared" si="4"/>
        <v/>
      </c>
      <c r="K51" s="210" t="str">
        <f t="shared" si="5"/>
        <v/>
      </c>
      <c r="L51" s="189"/>
      <c r="M51" s="120"/>
      <c r="N51" s="117"/>
      <c r="O51" s="250">
        <f t="shared" si="6"/>
        <v>0</v>
      </c>
      <c r="P51" s="249">
        <f>IF('NW - M5'!D40=0,0,IF('NW - M5'!D40&gt;=0,'NW - M5'!D40))</f>
        <v>0</v>
      </c>
      <c r="Q51" s="206" t="str">
        <f t="shared" si="7"/>
        <v/>
      </c>
      <c r="R51" s="250">
        <f t="shared" si="8"/>
        <v>0</v>
      </c>
      <c r="S51" s="249">
        <f>IF('NW - M5'!F40=0,0,IF('NW - M5'!F40&gt;=0,'NW - M5'!F40))</f>
        <v>0</v>
      </c>
      <c r="T51" s="206" t="str">
        <f t="shared" si="9"/>
        <v/>
      </c>
      <c r="U51" s="250">
        <f t="shared" si="10"/>
        <v>0</v>
      </c>
      <c r="V51" s="249">
        <f>IF('NW - M5'!E40=0,0,IF('NW - M5'!E40&gt;=0,'NW - M5'!E40))</f>
        <v>0</v>
      </c>
      <c r="W51" s="206" t="str">
        <f t="shared" si="11"/>
        <v/>
      </c>
      <c r="X51" s="250">
        <f t="shared" si="12"/>
        <v>0</v>
      </c>
      <c r="Y51" s="249">
        <f>IF('NW - M5'!I40=0,0,IF('NW - M5'!I40&gt;=0,'NW - M5'!I40))</f>
        <v>0</v>
      </c>
      <c r="Z51" s="206" t="str">
        <f t="shared" si="13"/>
        <v/>
      </c>
      <c r="AA51" s="250">
        <f t="shared" si="14"/>
        <v>0</v>
      </c>
      <c r="AB51" s="249">
        <f>IF('NW - M5'!H40=0,0,IF('NW - M5'!H40&gt;=0,'NW - M5'!H40))</f>
        <v>0</v>
      </c>
      <c r="AC51" s="206" t="str">
        <f t="shared" si="15"/>
        <v/>
      </c>
      <c r="AD51" s="1" t="str">
        <f t="shared" si="39"/>
        <v/>
      </c>
      <c r="AE51" s="1" t="str">
        <f t="shared" si="16"/>
        <v/>
      </c>
      <c r="AF51" s="1" t="str">
        <f t="shared" si="17"/>
        <v/>
      </c>
      <c r="AG51" s="1" t="str">
        <f t="shared" si="18"/>
        <v/>
      </c>
      <c r="AH51" s="1" t="str">
        <f t="shared" si="19"/>
        <v/>
      </c>
      <c r="AI51" s="1">
        <f t="shared" si="20"/>
        <v>0</v>
      </c>
      <c r="AJ51" s="106" t="b">
        <f t="shared" si="21"/>
        <v>0</v>
      </c>
      <c r="AK51" s="106" t="b">
        <f t="shared" si="22"/>
        <v>0</v>
      </c>
      <c r="AL51" s="106" t="b">
        <f t="shared" si="23"/>
        <v>0</v>
      </c>
      <c r="AM51" s="106" t="b">
        <f t="shared" si="24"/>
        <v>0</v>
      </c>
      <c r="AN51" s="106" t="b">
        <f t="shared" si="25"/>
        <v>0</v>
      </c>
      <c r="AO51" s="106" t="b">
        <f t="shared" si="40"/>
        <v>0</v>
      </c>
      <c r="AP51" s="106" t="b">
        <f t="shared" si="26"/>
        <v>0</v>
      </c>
      <c r="AQ51" s="106" t="b">
        <f t="shared" si="27"/>
        <v>0</v>
      </c>
      <c r="AR51" s="106" t="b">
        <f t="shared" si="28"/>
        <v>0</v>
      </c>
      <c r="AS51" s="106" t="b">
        <f t="shared" si="29"/>
        <v>0</v>
      </c>
      <c r="AT51" s="148" t="str">
        <f t="shared" si="41"/>
        <v/>
      </c>
      <c r="AU51" s="198" t="e">
        <f t="shared" si="30"/>
        <v>#VALUE!</v>
      </c>
      <c r="AV51" s="204" t="str">
        <f t="shared" si="31"/>
        <v/>
      </c>
      <c r="AW51" s="107" t="str">
        <f t="shared" si="32"/>
        <v/>
      </c>
      <c r="AX51" s="121"/>
      <c r="AY51" s="109" t="str">
        <f t="shared" si="33"/>
        <v/>
      </c>
      <c r="AZ51" s="110"/>
      <c r="BA51" s="111" t="str">
        <f t="shared" si="34"/>
        <v/>
      </c>
      <c r="BB51" s="112"/>
      <c r="BC51" s="113" t="str">
        <f t="shared" si="35"/>
        <v/>
      </c>
      <c r="BD51" s="114">
        <f t="shared" si="36"/>
        <v>0</v>
      </c>
      <c r="BE51" s="118"/>
      <c r="BF51" s="113" t="str">
        <f t="shared" si="37"/>
        <v/>
      </c>
      <c r="BG51" s="116">
        <f t="shared" si="38"/>
        <v>0</v>
      </c>
    </row>
    <row r="52" spans="1:59" ht="15" customHeight="1" thickBot="1" x14ac:dyDescent="0.25">
      <c r="A52">
        <v>36</v>
      </c>
      <c r="B52" s="187">
        <f>BEGINBLAD!B41</f>
        <v>0</v>
      </c>
      <c r="C52" s="110" t="str">
        <f>IF('RIO - E4'!C52="","",IF('RIO - E4'!C52&gt;"",'RIO - E4'!C52))</f>
        <v/>
      </c>
      <c r="D52" s="149" t="str">
        <f>IF('NW - M5'!N41="","",IF('NW - M5'!N41="A+","A",IF('NW - M5'!N41="A","A",IF('NW - M5'!N41="B","B",IF('NW - M5'!N41="C","C",IF('NW - M5'!N41="C-","C",IF('NW - M5'!N41="D","D",IF('NW - M5'!N41="E","E"))))))))</f>
        <v/>
      </c>
      <c r="E52" s="122"/>
      <c r="F52" s="194" t="str">
        <f t="shared" si="0"/>
        <v/>
      </c>
      <c r="G52" s="192" t="str">
        <f t="shared" si="1"/>
        <v/>
      </c>
      <c r="H52" s="195" t="str">
        <f t="shared" si="2"/>
        <v/>
      </c>
      <c r="I52" s="196" t="str">
        <f t="shared" si="3"/>
        <v/>
      </c>
      <c r="J52" s="209" t="str">
        <f t="shared" si="4"/>
        <v/>
      </c>
      <c r="K52" s="211" t="str">
        <f t="shared" si="5"/>
        <v/>
      </c>
      <c r="L52" s="190"/>
      <c r="M52" s="123"/>
      <c r="N52" s="124"/>
      <c r="O52" s="250">
        <f t="shared" si="6"/>
        <v>0</v>
      </c>
      <c r="P52" s="249">
        <f>IF('NW - M5'!D41=0,0,IF('NW - M5'!D41&gt;=0,'NW - M5'!D41))</f>
        <v>0</v>
      </c>
      <c r="Q52" s="207" t="str">
        <f t="shared" si="7"/>
        <v/>
      </c>
      <c r="R52" s="250">
        <f t="shared" si="8"/>
        <v>0</v>
      </c>
      <c r="S52" s="249">
        <f>IF('NW - M5'!F41=0,0,IF('NW - M5'!F41&gt;=0,'NW - M5'!F41))</f>
        <v>0</v>
      </c>
      <c r="T52" s="207" t="str">
        <f t="shared" si="9"/>
        <v/>
      </c>
      <c r="U52" s="250">
        <f t="shared" si="10"/>
        <v>0</v>
      </c>
      <c r="V52" s="249">
        <f>IF('NW - M5'!E41=0,0,IF('NW - M5'!E41&gt;=0,'NW - M5'!E41))</f>
        <v>0</v>
      </c>
      <c r="W52" s="207" t="str">
        <f t="shared" si="11"/>
        <v/>
      </c>
      <c r="X52" s="250">
        <f t="shared" si="12"/>
        <v>0</v>
      </c>
      <c r="Y52" s="249">
        <f>IF('NW - M5'!I41=0,0,IF('NW - M5'!I41&gt;=0,'NW - M5'!I41))</f>
        <v>0</v>
      </c>
      <c r="Z52" s="207" t="str">
        <f t="shared" si="13"/>
        <v/>
      </c>
      <c r="AA52" s="250">
        <f t="shared" si="14"/>
        <v>0</v>
      </c>
      <c r="AB52" s="249">
        <f>IF('NW - M5'!H41=0,0,IF('NW - M5'!H41&gt;=0,'NW - M5'!H41))</f>
        <v>0</v>
      </c>
      <c r="AC52" s="207" t="str">
        <f t="shared" si="15"/>
        <v/>
      </c>
      <c r="AD52" s="1" t="str">
        <f t="shared" si="39"/>
        <v/>
      </c>
      <c r="AE52" s="1" t="str">
        <f t="shared" si="16"/>
        <v/>
      </c>
      <c r="AF52" s="1" t="str">
        <f t="shared" si="17"/>
        <v/>
      </c>
      <c r="AG52" s="1" t="str">
        <f t="shared" si="18"/>
        <v/>
      </c>
      <c r="AH52" s="1" t="str">
        <f t="shared" si="19"/>
        <v/>
      </c>
      <c r="AI52" s="1">
        <f t="shared" si="20"/>
        <v>0</v>
      </c>
      <c r="AJ52" s="106" t="b">
        <f t="shared" si="21"/>
        <v>0</v>
      </c>
      <c r="AK52" s="106" t="b">
        <f t="shared" si="22"/>
        <v>0</v>
      </c>
      <c r="AL52" s="106" t="b">
        <f t="shared" si="23"/>
        <v>0</v>
      </c>
      <c r="AM52" s="106" t="b">
        <f t="shared" si="24"/>
        <v>0</v>
      </c>
      <c r="AN52" s="106" t="b">
        <f t="shared" si="25"/>
        <v>0</v>
      </c>
      <c r="AO52" s="106" t="b">
        <f t="shared" si="40"/>
        <v>0</v>
      </c>
      <c r="AP52" s="106" t="b">
        <f t="shared" si="26"/>
        <v>0</v>
      </c>
      <c r="AQ52" s="106" t="b">
        <f t="shared" si="27"/>
        <v>0</v>
      </c>
      <c r="AR52" s="106" t="b">
        <f t="shared" si="28"/>
        <v>0</v>
      </c>
      <c r="AS52" s="106" t="b">
        <f t="shared" si="29"/>
        <v>0</v>
      </c>
      <c r="AT52" s="148" t="str">
        <f t="shared" si="41"/>
        <v/>
      </c>
      <c r="AU52" s="198" t="e">
        <f t="shared" si="30"/>
        <v>#VALUE!</v>
      </c>
      <c r="AV52" s="205" t="str">
        <f t="shared" si="31"/>
        <v/>
      </c>
      <c r="AW52" s="107" t="str">
        <f t="shared" si="32"/>
        <v/>
      </c>
      <c r="AX52" s="121"/>
      <c r="AY52" s="109" t="str">
        <f t="shared" si="33"/>
        <v/>
      </c>
      <c r="AZ52" s="110"/>
      <c r="BA52" s="111" t="str">
        <f t="shared" si="34"/>
        <v/>
      </c>
      <c r="BB52" s="112"/>
      <c r="BC52" s="113" t="str">
        <f t="shared" si="35"/>
        <v/>
      </c>
      <c r="BD52" s="114">
        <f t="shared" si="36"/>
        <v>0</v>
      </c>
      <c r="BE52" s="125"/>
      <c r="BF52" s="113" t="str">
        <f t="shared" si="37"/>
        <v/>
      </c>
      <c r="BG52" s="116">
        <f t="shared" si="38"/>
        <v>0</v>
      </c>
    </row>
    <row r="53" spans="1:59" ht="15" customHeight="1" thickBot="1" x14ac:dyDescent="0.25">
      <c r="A53" t="s">
        <v>75</v>
      </c>
      <c r="B53" s="33">
        <f>36-B54</f>
        <v>3</v>
      </c>
      <c r="C53" s="341" t="s">
        <v>76</v>
      </c>
      <c r="D53" s="342"/>
      <c r="E53" s="342"/>
      <c r="F53" s="342"/>
      <c r="G53" s="342"/>
      <c r="H53" s="342"/>
      <c r="I53" s="342"/>
      <c r="J53" s="342"/>
      <c r="K53" s="342"/>
      <c r="L53" s="342"/>
      <c r="M53" s="342"/>
      <c r="N53" s="343"/>
      <c r="O53" s="347">
        <f>IF(AD53=0,0,IF(AD53&gt;0,AD54))</f>
        <v>0.66666666666666663</v>
      </c>
      <c r="P53" s="348"/>
      <c r="Q53" s="349"/>
      <c r="R53" s="350">
        <f>IF(AE53=0,0,IF(AE53&gt;0,AE54))</f>
        <v>0.66666666666666663</v>
      </c>
      <c r="S53" s="348"/>
      <c r="T53" s="349"/>
      <c r="U53" s="350">
        <f>IF(AF53=0,0,IF(AF53&gt;0,AF54))</f>
        <v>0.33333333333333331</v>
      </c>
      <c r="V53" s="348"/>
      <c r="W53" s="351"/>
      <c r="X53" s="347">
        <f>IF(AG53=0,0,IF(AG53&gt;0,AG54))</f>
        <v>1</v>
      </c>
      <c r="Y53" s="348"/>
      <c r="Z53" s="349"/>
      <c r="AA53" s="350">
        <f>IF(AH53=0,0,IF(AH53&gt;0,AH54))</f>
        <v>0.5</v>
      </c>
      <c r="AB53" s="348"/>
      <c r="AC53" s="351"/>
      <c r="AD53" s="173">
        <f>SUM(AD17:AD52)</f>
        <v>2</v>
      </c>
      <c r="AE53" s="126">
        <f>SUM(AE17:AE52)</f>
        <v>2</v>
      </c>
      <c r="AF53" s="126">
        <f>SUM(AF17:AF52)</f>
        <v>1</v>
      </c>
      <c r="AG53" s="126">
        <f>SUM(AG17:AG52)</f>
        <v>2</v>
      </c>
      <c r="AH53" s="126">
        <f>SUM(AH17:AH52)</f>
        <v>1</v>
      </c>
      <c r="AI53" s="127">
        <f>SUM(AV17:AV52)</f>
        <v>1.6</v>
      </c>
      <c r="AJ53" s="127">
        <f t="shared" ref="AJ53:AS53" si="42">SUM(AJ17:AJ52)</f>
        <v>0</v>
      </c>
      <c r="AK53" s="127">
        <f t="shared" si="42"/>
        <v>0</v>
      </c>
      <c r="AL53" s="127">
        <f t="shared" si="42"/>
        <v>1.6</v>
      </c>
      <c r="AM53" s="127">
        <f t="shared" si="42"/>
        <v>0</v>
      </c>
      <c r="AN53" s="127">
        <f t="shared" si="42"/>
        <v>0</v>
      </c>
      <c r="AO53" s="127">
        <f t="shared" si="42"/>
        <v>0</v>
      </c>
      <c r="AP53" s="127">
        <f t="shared" si="42"/>
        <v>0</v>
      </c>
      <c r="AQ53" s="127">
        <f t="shared" si="42"/>
        <v>0</v>
      </c>
      <c r="AR53" s="127">
        <f t="shared" si="42"/>
        <v>0</v>
      </c>
      <c r="AS53" s="127">
        <f t="shared" si="42"/>
        <v>0</v>
      </c>
      <c r="AT53" s="146"/>
      <c r="AU53" s="147"/>
      <c r="AV53" s="128">
        <f>IF(AI53=0,"",IF(AI53&gt;0,$AI$54))</f>
        <v>0.53333333333333333</v>
      </c>
      <c r="AW53" s="129" t="str">
        <f>IF(AW54=0,"",IF(AW54&gt;0,AW54/AX54))</f>
        <v/>
      </c>
      <c r="AX53" s="1">
        <f>SUM(AX42:AX52)</f>
        <v>3</v>
      </c>
      <c r="AY53" s="130" t="str">
        <f>IF(L54=0,"",IF(L54&gt;0,AY54/L54))</f>
        <v/>
      </c>
      <c r="AZ53" s="131">
        <f>IF(B53=0,"",IF(B53&gt;0,AZ55/B53))</f>
        <v>1</v>
      </c>
      <c r="BA53" s="132"/>
      <c r="BB53" s="133" t="str">
        <f>IF(BD53=0,"",IF(BD53&gt;0,BD53/BB54))</f>
        <v/>
      </c>
      <c r="BC53" s="132"/>
      <c r="BD53" s="132">
        <f>SUM(BD17:BD52)</f>
        <v>0</v>
      </c>
      <c r="BE53" s="133" t="str">
        <f>IF(BG53=0,"",IF(BG53&gt;0,BG53/BE54))</f>
        <v/>
      </c>
      <c r="BF53" s="31"/>
      <c r="BG53" s="134">
        <f>SUM(BG17:BG52)</f>
        <v>0</v>
      </c>
    </row>
    <row r="54" spans="1:59" x14ac:dyDescent="0.2">
      <c r="B54" s="143">
        <f>COUNTIF(B17:B52,0)</f>
        <v>33</v>
      </c>
      <c r="C54" s="5"/>
      <c r="D54" s="5"/>
      <c r="E54" s="5"/>
      <c r="F54" s="5"/>
      <c r="G54" s="5"/>
      <c r="H54" s="5"/>
      <c r="I54" s="5"/>
      <c r="L54" s="5">
        <f>COUNTA(L17:L52)</f>
        <v>0</v>
      </c>
      <c r="M54" s="5">
        <f>COUNTA(M17:M52)</f>
        <v>0</v>
      </c>
      <c r="O54" s="332" t="s">
        <v>35</v>
      </c>
      <c r="P54" s="333"/>
      <c r="Q54" s="333"/>
      <c r="R54" s="333"/>
      <c r="S54" s="333"/>
      <c r="T54" s="333"/>
      <c r="U54" s="333"/>
      <c r="V54" s="333"/>
      <c r="W54" s="334"/>
      <c r="X54" s="338" t="s">
        <v>36</v>
      </c>
      <c r="Y54" s="339"/>
      <c r="Z54" s="339"/>
      <c r="AA54" s="339"/>
      <c r="AB54" s="339"/>
      <c r="AC54" s="340"/>
      <c r="AD54" s="135">
        <f t="shared" ref="AD54:AI54" si="43">AD53/AD56</f>
        <v>0.66666666666666663</v>
      </c>
      <c r="AE54" s="135">
        <f t="shared" si="43"/>
        <v>0.66666666666666663</v>
      </c>
      <c r="AF54" s="135">
        <f t="shared" si="43"/>
        <v>0.33333333333333331</v>
      </c>
      <c r="AG54" s="135">
        <f t="shared" si="43"/>
        <v>1</v>
      </c>
      <c r="AH54" s="135">
        <f t="shared" si="43"/>
        <v>0.5</v>
      </c>
      <c r="AI54" s="135">
        <f t="shared" si="43"/>
        <v>0.53333333333333333</v>
      </c>
      <c r="AJ54" s="106">
        <f t="shared" ref="AJ54:AS54" si="44">AJ53/10</f>
        <v>0</v>
      </c>
      <c r="AK54" s="106">
        <f t="shared" si="44"/>
        <v>0</v>
      </c>
      <c r="AL54" s="106">
        <f t="shared" si="44"/>
        <v>0.16</v>
      </c>
      <c r="AM54" s="106">
        <f t="shared" si="44"/>
        <v>0</v>
      </c>
      <c r="AN54" s="106">
        <f t="shared" si="44"/>
        <v>0</v>
      </c>
      <c r="AO54" s="106">
        <f t="shared" si="44"/>
        <v>0</v>
      </c>
      <c r="AP54" s="106">
        <f t="shared" si="44"/>
        <v>0</v>
      </c>
      <c r="AQ54" s="106">
        <f t="shared" si="44"/>
        <v>0</v>
      </c>
      <c r="AR54" s="106">
        <f t="shared" si="44"/>
        <v>0</v>
      </c>
      <c r="AS54" s="106">
        <f t="shared" si="44"/>
        <v>0</v>
      </c>
      <c r="AT54" s="106"/>
      <c r="AU54" s="106"/>
      <c r="AV54" s="3"/>
      <c r="AW54" s="5">
        <f>COUNTIF(AW17:AW52,1)</f>
        <v>0</v>
      </c>
      <c r="AX54" s="3">
        <f>AX53*B54</f>
        <v>99</v>
      </c>
      <c r="AY54" s="136">
        <f>SUM(AY17:AY51)</f>
        <v>0</v>
      </c>
      <c r="AZ54" s="5">
        <f>COUNTA(AZ17:AZ52)</f>
        <v>0</v>
      </c>
      <c r="BA54" s="3"/>
      <c r="BB54" s="5">
        <f>COUNTA(BB17:BB52)</f>
        <v>0</v>
      </c>
      <c r="BC54" s="5"/>
      <c r="BD54" s="5"/>
      <c r="BE54" s="5">
        <f>COUNTA(BE17:BE52)</f>
        <v>0</v>
      </c>
      <c r="BF54" s="3"/>
      <c r="BG54" s="3"/>
    </row>
    <row r="55" spans="1:59" ht="13.5" thickBot="1" x14ac:dyDescent="0.25">
      <c r="L55" s="3"/>
      <c r="M55" s="3"/>
      <c r="O55" s="335">
        <f>IF(B54=0,"",IF(B54&gt;0,(O53+R53+U53)/3))</f>
        <v>0.55555555555555547</v>
      </c>
      <c r="P55" s="336"/>
      <c r="Q55" s="336"/>
      <c r="R55" s="336"/>
      <c r="S55" s="336"/>
      <c r="T55" s="336"/>
      <c r="U55" s="336"/>
      <c r="V55" s="336"/>
      <c r="W55" s="337"/>
      <c r="X55" s="335">
        <f>IF(B54=0,"",IF(B54&gt;0,(X53+AA53)/2))</f>
        <v>0.75</v>
      </c>
      <c r="Y55" s="336"/>
      <c r="Z55" s="336"/>
      <c r="AA55" s="336"/>
      <c r="AB55" s="336"/>
      <c r="AC55" s="337"/>
      <c r="AD55" s="3">
        <f>COUNTIF(O17:O52,0)</f>
        <v>33</v>
      </c>
      <c r="AE55" s="3">
        <f>COUNTIF(R17:R52,0)</f>
        <v>33</v>
      </c>
      <c r="AF55" s="3">
        <f>COUNTIF(U17:U52,0)</f>
        <v>33</v>
      </c>
      <c r="AG55" s="3">
        <f>COUNTIF(X17:X52,0)</f>
        <v>34</v>
      </c>
      <c r="AH55" s="3">
        <f>COUNTIF(AA17:AA52,0)</f>
        <v>34</v>
      </c>
      <c r="AI55" s="3">
        <f>COUNTIF(AV17:AV52,"")</f>
        <v>33</v>
      </c>
      <c r="AJ55" s="106" t="e">
        <f>AJ53/K65*K67</f>
        <v>#DIV/0!</v>
      </c>
      <c r="AK55" s="106" t="e">
        <f>AK53/L65*L67</f>
        <v>#DIV/0!</v>
      </c>
      <c r="AL55" s="106">
        <f>AL53/M65*M67</f>
        <v>0.53333333333333333</v>
      </c>
      <c r="AM55" s="106" t="e">
        <f>AM53/N65*N67</f>
        <v>#DIV/0!</v>
      </c>
      <c r="AN55" s="106" t="e">
        <f>AN53/O65*O67</f>
        <v>#DIV/0!</v>
      </c>
      <c r="AO55" s="106" t="e">
        <f>AO53/K66*K69</f>
        <v>#DIV/0!</v>
      </c>
      <c r="AP55" s="106" t="e">
        <f>AP53/L66*L69</f>
        <v>#DIV/0!</v>
      </c>
      <c r="AQ55" s="106" t="e">
        <f>AQ53/M66*M69</f>
        <v>#DIV/0!</v>
      </c>
      <c r="AR55" s="106" t="e">
        <f>AR53/N66*N69</f>
        <v>#DIV/0!</v>
      </c>
      <c r="AS55" s="106" t="e">
        <f>AS53/O66*O69</f>
        <v>#DIV/0!</v>
      </c>
      <c r="AW55" s="3"/>
      <c r="AX55" s="3"/>
      <c r="AY55" s="3"/>
      <c r="AZ55" s="5">
        <f>(B53-AZ54)</f>
        <v>3</v>
      </c>
      <c r="BA55" s="3"/>
      <c r="BB55" s="5"/>
      <c r="BC55" s="5"/>
      <c r="BD55" s="5"/>
      <c r="BE55" s="5"/>
      <c r="BF55" s="3"/>
      <c r="BG55" s="3"/>
    </row>
    <row r="56" spans="1:59" ht="20.25" thickBot="1" x14ac:dyDescent="0.45">
      <c r="B56" s="46" t="s">
        <v>7</v>
      </c>
      <c r="C56" s="174"/>
      <c r="D56" s="174"/>
      <c r="E56" s="174"/>
      <c r="F56" s="174"/>
      <c r="G56" s="174"/>
      <c r="H56" s="174"/>
      <c r="I56" s="174"/>
      <c r="J56" s="329">
        <f>J1</f>
        <v>5</v>
      </c>
      <c r="K56" s="330"/>
      <c r="L56" s="331"/>
      <c r="M56" s="32"/>
      <c r="O56" s="137"/>
      <c r="P56" s="137"/>
      <c r="Q56" s="137"/>
      <c r="R56" s="137"/>
      <c r="S56" s="137"/>
      <c r="T56" s="137"/>
      <c r="U56" s="137"/>
      <c r="V56" s="137"/>
      <c r="W56" s="137"/>
      <c r="X56" s="137"/>
      <c r="Y56" s="137"/>
      <c r="Z56" s="137"/>
      <c r="AA56" s="137"/>
      <c r="AB56" s="137"/>
      <c r="AC56" s="137"/>
      <c r="AD56" s="3">
        <f t="shared" ref="AD56:AI56" si="45">36-AD55</f>
        <v>3</v>
      </c>
      <c r="AE56" s="3">
        <f t="shared" si="45"/>
        <v>3</v>
      </c>
      <c r="AF56" s="3">
        <f t="shared" si="45"/>
        <v>3</v>
      </c>
      <c r="AG56" s="3">
        <f t="shared" si="45"/>
        <v>2</v>
      </c>
      <c r="AH56" s="3">
        <f t="shared" si="45"/>
        <v>2</v>
      </c>
      <c r="AI56" s="3">
        <f t="shared" si="45"/>
        <v>3</v>
      </c>
      <c r="AO56" s="3"/>
      <c r="AW56" s="3"/>
      <c r="AX56" s="3"/>
      <c r="AY56" s="3"/>
      <c r="AZ56" s="3"/>
      <c r="BA56" s="3"/>
      <c r="BB56" s="5"/>
      <c r="BC56" s="5"/>
      <c r="BD56" s="5"/>
      <c r="BE56" s="5"/>
      <c r="BF56" s="3"/>
      <c r="BG56" s="3"/>
    </row>
    <row r="57" spans="1:59" ht="20.25" thickBot="1" x14ac:dyDescent="0.45">
      <c r="B57" s="46" t="s">
        <v>29</v>
      </c>
      <c r="C57" s="174"/>
      <c r="D57" s="174"/>
      <c r="E57" s="174"/>
      <c r="F57" s="174"/>
      <c r="G57" s="174"/>
      <c r="H57" s="174"/>
      <c r="I57" s="174"/>
      <c r="J57" s="320">
        <f>J2</f>
        <v>0</v>
      </c>
      <c r="K57" s="321"/>
      <c r="L57" s="322"/>
      <c r="M57" s="32"/>
      <c r="O57" s="137"/>
      <c r="P57" s="137"/>
      <c r="Q57" s="137"/>
      <c r="R57" s="137"/>
      <c r="S57" s="137"/>
      <c r="T57" s="137"/>
      <c r="U57" s="137"/>
      <c r="V57" s="137"/>
      <c r="W57" s="137"/>
      <c r="X57" s="137"/>
      <c r="Y57" s="137"/>
      <c r="Z57" s="137"/>
      <c r="AA57" s="137"/>
      <c r="AB57" s="137"/>
      <c r="AC57" s="137"/>
      <c r="AD57" s="3"/>
      <c r="AE57" s="3"/>
      <c r="AF57" s="3"/>
      <c r="AG57" s="3"/>
      <c r="AH57" s="3"/>
      <c r="AI57" s="3"/>
      <c r="AO57" s="3"/>
      <c r="AW57" s="3"/>
      <c r="AX57" s="3"/>
      <c r="AY57" s="3"/>
      <c r="AZ57" s="5"/>
      <c r="BA57" s="3"/>
      <c r="BB57" s="5"/>
      <c r="BC57" s="5"/>
      <c r="BD57" s="5"/>
      <c r="BE57" s="5"/>
      <c r="BF57" s="3"/>
      <c r="BG57" s="3"/>
    </row>
    <row r="58" spans="1:59" x14ac:dyDescent="0.2">
      <c r="L58" s="138"/>
      <c r="M58" s="32"/>
      <c r="AJ58" s="3"/>
      <c r="AO58" s="3"/>
      <c r="AW58" s="32"/>
      <c r="AX58" s="32"/>
      <c r="AY58" s="32"/>
    </row>
    <row r="59" spans="1:59" x14ac:dyDescent="0.2">
      <c r="J59" s="1" t="s">
        <v>8</v>
      </c>
      <c r="K59" s="1" t="s">
        <v>9</v>
      </c>
      <c r="L59" s="1" t="s">
        <v>10</v>
      </c>
      <c r="M59" s="1" t="s">
        <v>11</v>
      </c>
      <c r="N59" s="1" t="s">
        <v>12</v>
      </c>
      <c r="O59" s="1" t="s">
        <v>77</v>
      </c>
      <c r="P59" s="1" t="s">
        <v>78</v>
      </c>
      <c r="Q59" s="1" t="s">
        <v>79</v>
      </c>
      <c r="R59" s="1" t="s">
        <v>80</v>
      </c>
      <c r="S59" s="1" t="s">
        <v>81</v>
      </c>
      <c r="AO59" s="3"/>
      <c r="AT59" s="139" t="s">
        <v>80</v>
      </c>
      <c r="AU59" s="139"/>
      <c r="AX59" s="139" t="s">
        <v>82</v>
      </c>
      <c r="AY59" s="139"/>
    </row>
    <row r="60" spans="1:59" x14ac:dyDescent="0.2">
      <c r="J60" s="106">
        <f>AD54</f>
        <v>0.66666666666666663</v>
      </c>
      <c r="K60" s="106">
        <f>AE54</f>
        <v>0.66666666666666663</v>
      </c>
      <c r="L60" s="106">
        <f>AF54</f>
        <v>0.33333333333333331</v>
      </c>
      <c r="M60" s="106">
        <f>AG54</f>
        <v>1</v>
      </c>
      <c r="N60" s="106">
        <f>AH54</f>
        <v>0.5</v>
      </c>
      <c r="O60" s="106">
        <f>$AV$53</f>
        <v>0.53333333333333333</v>
      </c>
      <c r="P60" s="140" t="str">
        <f>$AW$53</f>
        <v/>
      </c>
      <c r="Q60" s="106">
        <f>$AZ$53</f>
        <v>1</v>
      </c>
      <c r="R60" s="106" t="str">
        <f>$BB$53</f>
        <v/>
      </c>
      <c r="S60" s="106" t="str">
        <f>$BE$53</f>
        <v/>
      </c>
      <c r="T60" s="106"/>
      <c r="V60" s="106"/>
      <c r="W60" s="106"/>
      <c r="Y60" s="106"/>
      <c r="Z60" s="106"/>
      <c r="AB60" s="106"/>
      <c r="AC60" s="106"/>
      <c r="AT60" s="106" t="str">
        <f>$BB$53</f>
        <v/>
      </c>
      <c r="AU60" s="106"/>
      <c r="AX60" s="141">
        <f>$N$53</f>
        <v>0</v>
      </c>
      <c r="AY60" s="32"/>
    </row>
    <row r="61" spans="1:59" x14ac:dyDescent="0.2">
      <c r="L61" s="138"/>
      <c r="M61" s="32"/>
      <c r="AW61" s="32"/>
      <c r="AX61" s="32"/>
      <c r="AY61" s="32"/>
    </row>
    <row r="62" spans="1:59" x14ac:dyDescent="0.2">
      <c r="L62" s="138"/>
      <c r="M62" s="32"/>
      <c r="AW62" s="32"/>
      <c r="AX62" s="32"/>
      <c r="AY62" s="32"/>
    </row>
    <row r="63" spans="1:59" x14ac:dyDescent="0.2">
      <c r="J63" s="142"/>
      <c r="K63" s="1" t="str">
        <f>IF($E$6="ja","A",IF($E$6="nee",1))</f>
        <v>A</v>
      </c>
      <c r="L63" s="1" t="str">
        <f>IF($E$6="ja","B",IF($E$6="nee",2))</f>
        <v>B</v>
      </c>
      <c r="M63" s="1" t="str">
        <f>IF($E$6="ja","C",IF($E$6="nee",3))</f>
        <v>C</v>
      </c>
      <c r="N63" s="1" t="str">
        <f>IF($E$6="ja","D",IF($E$6="nee",4))</f>
        <v>D</v>
      </c>
      <c r="O63" s="1" t="str">
        <f>IF($E$6="ja","E",IF($E$6="nee",5))</f>
        <v>E</v>
      </c>
    </row>
    <row r="64" spans="1:59" x14ac:dyDescent="0.2">
      <c r="J64" s="142" t="s">
        <v>83</v>
      </c>
      <c r="K64" s="106">
        <f>IF($E$6="ja",0.25,IF($E$6="nee",0.2))</f>
        <v>0.25</v>
      </c>
      <c r="L64" s="106">
        <f>IF($E$6="ja",0.25,IF($E$6="nee",0.2))</f>
        <v>0.25</v>
      </c>
      <c r="M64" s="106">
        <f>IF($E$6="ja",0.25,IF($E$6="nee",0.2))</f>
        <v>0.25</v>
      </c>
      <c r="N64" s="106">
        <f>IF($E$6="ja",0.15,IF($E$6="nee",0.2))</f>
        <v>0.15</v>
      </c>
      <c r="O64" s="106">
        <f>IF($E$6="ja",0.1,IF($E$6="nee",0.2))</f>
        <v>0.1</v>
      </c>
      <c r="P64" s="106"/>
      <c r="Q64" s="106"/>
    </row>
    <row r="65" spans="10:17" x14ac:dyDescent="0.2">
      <c r="J65" s="142"/>
      <c r="K65" s="1">
        <f>COUNTIF($J$17:$J$52,"A")</f>
        <v>0</v>
      </c>
      <c r="L65" s="1">
        <f>COUNTIF($J$17:$J$52,"B")</f>
        <v>0</v>
      </c>
      <c r="M65" s="1">
        <f>COUNTIF($J$17:$J$52,"C")</f>
        <v>3</v>
      </c>
      <c r="N65" s="1">
        <f>COUNTIF($J$17:$J$52,"D")</f>
        <v>0</v>
      </c>
      <c r="O65" s="1">
        <f>COUNTIF($J$17:$J$52,"E")</f>
        <v>0</v>
      </c>
    </row>
    <row r="66" spans="10:17" x14ac:dyDescent="0.2">
      <c r="J66" s="142"/>
      <c r="K66" s="1">
        <f>COUNTIF($J$17:$J$52,1)</f>
        <v>0</v>
      </c>
      <c r="L66" s="1">
        <f>COUNTIF($J$17:$J$52,2)</f>
        <v>0</v>
      </c>
      <c r="M66" s="1">
        <f>COUNTIF($J$17:$J$52,3)</f>
        <v>0</v>
      </c>
      <c r="N66" s="1">
        <f>COUNTIF($J$17:$J$52,4)</f>
        <v>0</v>
      </c>
      <c r="O66" s="1">
        <f>COUNTIF($J$17:$J$52,5)</f>
        <v>0</v>
      </c>
    </row>
    <row r="67" spans="10:17" x14ac:dyDescent="0.2">
      <c r="J67" s="142" t="s">
        <v>84</v>
      </c>
      <c r="K67" s="106">
        <f>K65/$B$53</f>
        <v>0</v>
      </c>
      <c r="L67" s="106">
        <f>L65/$B$53</f>
        <v>0</v>
      </c>
      <c r="M67" s="106">
        <f>M65/$B$53</f>
        <v>1</v>
      </c>
      <c r="N67" s="106">
        <f>N65/$B$53</f>
        <v>0</v>
      </c>
      <c r="O67" s="106">
        <f>O65/$B$53</f>
        <v>0</v>
      </c>
      <c r="P67" s="106"/>
      <c r="Q67" s="106"/>
    </row>
    <row r="68" spans="10:17" x14ac:dyDescent="0.2">
      <c r="J68" s="142" t="s">
        <v>85</v>
      </c>
      <c r="K68" s="106" t="e">
        <f>AJ55</f>
        <v>#DIV/0!</v>
      </c>
      <c r="L68" s="106" t="e">
        <f>AK55</f>
        <v>#DIV/0!</v>
      </c>
      <c r="M68" s="106">
        <f>AL55</f>
        <v>0.53333333333333333</v>
      </c>
      <c r="N68" s="106" t="e">
        <f>AM55</f>
        <v>#DIV/0!</v>
      </c>
      <c r="O68" s="106" t="e">
        <f>AN55</f>
        <v>#DIV/0!</v>
      </c>
      <c r="P68" s="106"/>
      <c r="Q68" s="106"/>
    </row>
    <row r="69" spans="10:17" x14ac:dyDescent="0.2">
      <c r="J69" s="142" t="s">
        <v>86</v>
      </c>
      <c r="K69" s="106">
        <f>K66/$B$53</f>
        <v>0</v>
      </c>
      <c r="L69" s="106">
        <f>L66/$B$53</f>
        <v>0</v>
      </c>
      <c r="M69" s="106">
        <f>M66/$B$53</f>
        <v>0</v>
      </c>
      <c r="N69" s="106">
        <f>N66/$B$53</f>
        <v>0</v>
      </c>
      <c r="O69" s="106">
        <f>O66/$B$53</f>
        <v>0</v>
      </c>
      <c r="P69" s="106"/>
      <c r="Q69" s="106"/>
    </row>
    <row r="70" spans="10:17" x14ac:dyDescent="0.2">
      <c r="J70" s="142" t="s">
        <v>87</v>
      </c>
      <c r="K70" s="106" t="e">
        <f>AO55</f>
        <v>#DIV/0!</v>
      </c>
      <c r="L70" s="106" t="e">
        <f>AP55</f>
        <v>#DIV/0!</v>
      </c>
      <c r="M70" s="106" t="e">
        <f>AQ55</f>
        <v>#DIV/0!</v>
      </c>
      <c r="N70" s="106" t="e">
        <f>AR55</f>
        <v>#DIV/0!</v>
      </c>
      <c r="O70" s="106" t="e">
        <f>AS55</f>
        <v>#DIV/0!</v>
      </c>
      <c r="P70" s="106"/>
      <c r="Q70" s="106"/>
    </row>
    <row r="71" spans="10:17" x14ac:dyDescent="0.2">
      <c r="J71" s="142" t="s">
        <v>88</v>
      </c>
      <c r="K71" s="106">
        <f>IF($E$6="ja",K67,IF($E6="nee",K69))</f>
        <v>0</v>
      </c>
      <c r="L71" s="106">
        <f>IF($E$6="ja",L67,IF($E6="nee",L69))</f>
        <v>0</v>
      </c>
      <c r="M71" s="106">
        <f>IF($E$6="ja",M67,IF($E6="nee",M69))</f>
        <v>1</v>
      </c>
      <c r="N71" s="106">
        <f>IF($E$6="ja",N67,IF($E6="nee",N69))</f>
        <v>0</v>
      </c>
      <c r="O71" s="106">
        <f>IF($E$6="ja",O67,IF($E6="nee",O69))</f>
        <v>0</v>
      </c>
      <c r="P71" s="106"/>
      <c r="Q71" s="106"/>
    </row>
    <row r="72" spans="10:17" x14ac:dyDescent="0.2">
      <c r="J72" s="142" t="s">
        <v>89</v>
      </c>
      <c r="K72" s="106" t="e">
        <f>IF($E$6="ja",K68,IF($E$6="nee",K70))</f>
        <v>#DIV/0!</v>
      </c>
      <c r="L72" s="106" t="e">
        <f>IF($E$6="ja",L68,IF($E$6="nee",L70))</f>
        <v>#DIV/0!</v>
      </c>
      <c r="M72" s="106">
        <f>IF($E$6="ja",M68,IF($E$6="nee",M70))</f>
        <v>0.53333333333333333</v>
      </c>
      <c r="N72" s="106" t="e">
        <f>IF($E$6="ja",N68,IF($E$6="nee",N70))</f>
        <v>#DIV/0!</v>
      </c>
      <c r="O72" s="106" t="e">
        <f>IF($E$6="ja",O68,IF($E$6="nee",O70))</f>
        <v>#DIV/0!</v>
      </c>
      <c r="P72" s="106"/>
      <c r="Q72" s="106"/>
    </row>
  </sheetData>
  <sheetProtection algorithmName="SHA-512" hashValue="DimF0AjOvnO9GvsB+A+9IlRiGdZcYk9Z1FlE03XkqsD2J7LKYkT03vKZRDsCgQMF8LYuSMbe3Dym6PkAB68Qow==" saltValue="ZnIc94VkCsLTuyOFoR0z1w==" spinCount="100000" sheet="1" objects="1" scenarios="1"/>
  <mergeCells count="20">
    <mergeCell ref="R53:T53"/>
    <mergeCell ref="U53:W53"/>
    <mergeCell ref="X53:Z53"/>
    <mergeCell ref="AA53:AC53"/>
    <mergeCell ref="J57:L57"/>
    <mergeCell ref="N1:O1"/>
    <mergeCell ref="N2:O2"/>
    <mergeCell ref="B4:BE4"/>
    <mergeCell ref="AW9:AY9"/>
    <mergeCell ref="J56:L56"/>
    <mergeCell ref="O54:W54"/>
    <mergeCell ref="O55:W55"/>
    <mergeCell ref="J1:K1"/>
    <mergeCell ref="J2:K2"/>
    <mergeCell ref="X54:AC54"/>
    <mergeCell ref="X55:AC55"/>
    <mergeCell ref="C53:N53"/>
    <mergeCell ref="X9:AU9"/>
    <mergeCell ref="O9:W9"/>
    <mergeCell ref="O53:Q53"/>
  </mergeCells>
  <phoneticPr fontId="3" type="noConversion"/>
  <conditionalFormatting sqref="AZ17:AZ52">
    <cfRule type="cellIs" dxfId="833" priority="5" stopIfTrue="1" operator="equal">
      <formula>"x"</formula>
    </cfRule>
    <cfRule type="expression" dxfId="832" priority="6" stopIfTrue="1">
      <formula>$B17&gt;0</formula>
    </cfRule>
    <cfRule type="cellIs" dxfId="831" priority="7" stopIfTrue="1" operator="equal">
      <formula>""</formula>
    </cfRule>
  </conditionalFormatting>
  <conditionalFormatting sqref="BB17:BB52">
    <cfRule type="expression" dxfId="830" priority="8" stopIfTrue="1">
      <formula>$BC17=""</formula>
    </cfRule>
    <cfRule type="expression" dxfId="829" priority="9" stopIfTrue="1">
      <formula>$BC17&lt;$BA17</formula>
    </cfRule>
    <cfRule type="expression" dxfId="828" priority="10" stopIfTrue="1">
      <formula>$BC17&gt;=$BA17</formula>
    </cfRule>
  </conditionalFormatting>
  <conditionalFormatting sqref="BE17:BE52">
    <cfRule type="expression" dxfId="827" priority="11" stopIfTrue="1">
      <formula>$BF17=""</formula>
    </cfRule>
    <cfRule type="expression" dxfId="826" priority="12" stopIfTrue="1">
      <formula>$BF17&lt;$BC17</formula>
    </cfRule>
    <cfRule type="expression" dxfId="825" priority="13" stopIfTrue="1">
      <formula>$BF17&gt;=$BC17</formula>
    </cfRule>
  </conditionalFormatting>
  <conditionalFormatting sqref="E17:E52">
    <cfRule type="expression" dxfId="824" priority="17" stopIfTrue="1">
      <formula>$E17=""</formula>
    </cfRule>
    <cfRule type="expression" dxfId="823" priority="18" stopIfTrue="1">
      <formula>$E17&gt;$C17</formula>
    </cfRule>
    <cfRule type="expression" dxfId="822" priority="19" stopIfTrue="1">
      <formula>$E17&lt;$C17</formula>
    </cfRule>
  </conditionalFormatting>
  <conditionalFormatting sqref="B17:B52">
    <cfRule type="cellIs" dxfId="821" priority="20" stopIfTrue="1" operator="equal">
      <formula>""</formula>
    </cfRule>
    <cfRule type="cellIs" dxfId="820" priority="21" stopIfTrue="1" operator="equal">
      <formula>0</formula>
    </cfRule>
    <cfRule type="expression" dxfId="819" priority="22" stopIfTrue="1">
      <formula>$AV17&lt;0.8</formula>
    </cfRule>
  </conditionalFormatting>
  <conditionalFormatting sqref="E6:E7 J8:K8">
    <cfRule type="cellIs" dxfId="818" priority="23" stopIfTrue="1" operator="equal">
      <formula>"ja"</formula>
    </cfRule>
    <cfRule type="cellIs" dxfId="817" priority="24" stopIfTrue="1" operator="equal">
      <formula>"nee"</formula>
    </cfRule>
  </conditionalFormatting>
  <conditionalFormatting sqref="BA17:BA52 BG53 BA53:BE53">
    <cfRule type="expression" dxfId="816" priority="25" stopIfTrue="1">
      <formula>$U$2="ja"</formula>
    </cfRule>
    <cfRule type="expression" dxfId="815" priority="26" stopIfTrue="1">
      <formula>$X$2="ja"</formula>
    </cfRule>
  </conditionalFormatting>
  <conditionalFormatting sqref="BE10:BE12 BB10:BB12">
    <cfRule type="expression" dxfId="814" priority="27" stopIfTrue="1">
      <formula>$X$2="ja"</formula>
    </cfRule>
  </conditionalFormatting>
  <conditionalFormatting sqref="BC17:BD52 BF17:BG52">
    <cfRule type="expression" dxfId="813" priority="28" stopIfTrue="1">
      <formula>$X$2="ja"</formula>
    </cfRule>
  </conditionalFormatting>
  <conditionalFormatting sqref="AW53">
    <cfRule type="cellIs" dxfId="812" priority="29" stopIfTrue="1" operator="equal">
      <formula>""</formula>
    </cfRule>
    <cfRule type="cellIs" dxfId="811" priority="30" stopIfTrue="1" operator="greaterThan">
      <formula>0.03</formula>
    </cfRule>
  </conditionalFormatting>
  <conditionalFormatting sqref="AW17:AW52">
    <cfRule type="cellIs" dxfId="810" priority="31" stopIfTrue="1" operator="equal">
      <formula>1</formula>
    </cfRule>
    <cfRule type="cellIs" dxfId="809" priority="32" stopIfTrue="1" operator="equal">
      <formula>""</formula>
    </cfRule>
  </conditionalFormatting>
  <conditionalFormatting sqref="AY17:AY52">
    <cfRule type="cellIs" dxfId="808" priority="33" stopIfTrue="1" operator="equal">
      <formula>1</formula>
    </cfRule>
    <cfRule type="cellIs" dxfId="807" priority="34" stopIfTrue="1" operator="lessThan">
      <formula>1</formula>
    </cfRule>
    <cfRule type="cellIs" dxfId="806" priority="35" stopIfTrue="1" operator="equal">
      <formula>""</formula>
    </cfRule>
  </conditionalFormatting>
  <conditionalFormatting sqref="AV10:AV12">
    <cfRule type="cellIs" dxfId="805" priority="36" stopIfTrue="1" operator="equal">
      <formula>1</formula>
    </cfRule>
    <cfRule type="cellIs" dxfId="804" priority="37" stopIfTrue="1" operator="lessThan">
      <formula>1</formula>
    </cfRule>
  </conditionalFormatting>
  <conditionalFormatting sqref="N10:N12">
    <cfRule type="expression" dxfId="803" priority="38" stopIfTrue="1">
      <formula>$U$2="ja"</formula>
    </cfRule>
    <cfRule type="expression" dxfId="802" priority="39" stopIfTrue="1">
      <formula>$X$2="ja"</formula>
    </cfRule>
  </conditionalFormatting>
  <conditionalFormatting sqref="O10:Q12">
    <cfRule type="expression" dxfId="801" priority="40" stopIfTrue="1">
      <formula>$U$1="ja"</formula>
    </cfRule>
    <cfRule type="expression" dxfId="800" priority="41" stopIfTrue="1">
      <formula>$X$1="ja"</formula>
    </cfRule>
    <cfRule type="expression" dxfId="799" priority="42" stopIfTrue="1">
      <formula>$AD$1="ja"</formula>
    </cfRule>
  </conditionalFormatting>
  <conditionalFormatting sqref="R10:T12">
    <cfRule type="expression" dxfId="798" priority="43" stopIfTrue="1">
      <formula>$AA$1="ja"</formula>
    </cfRule>
    <cfRule type="expression" dxfId="797" priority="44" stopIfTrue="1">
      <formula>$AD$1="ja"</formula>
    </cfRule>
  </conditionalFormatting>
  <conditionalFormatting sqref="U11:U12">
    <cfRule type="expression" dxfId="796" priority="45" stopIfTrue="1">
      <formula>$AD$1="ja"</formula>
    </cfRule>
  </conditionalFormatting>
  <conditionalFormatting sqref="X10:X12 AA10:AC12">
    <cfRule type="expression" dxfId="795" priority="46" stopIfTrue="1">
      <formula>$X$1="ja"</formula>
    </cfRule>
    <cfRule type="expression" dxfId="794" priority="47" stopIfTrue="1">
      <formula>$AA$1="ja"</formula>
    </cfRule>
    <cfRule type="expression" dxfId="793" priority="48" stopIfTrue="1">
      <formula>$AD$1="ja"</formula>
    </cfRule>
  </conditionalFormatting>
  <conditionalFormatting sqref="AU17:AU52">
    <cfRule type="cellIs" dxfId="792" priority="49" stopIfTrue="1" operator="notEqual">
      <formula>""</formula>
    </cfRule>
  </conditionalFormatting>
  <conditionalFormatting sqref="M17:M52">
    <cfRule type="cellIs" dxfId="791" priority="50" stopIfTrue="1" operator="equal">
      <formula>"x"</formula>
    </cfRule>
    <cfRule type="cellIs" dxfId="790" priority="51" stopIfTrue="1" operator="equal">
      <formula>""</formula>
    </cfRule>
  </conditionalFormatting>
  <conditionalFormatting sqref="H17:I52">
    <cfRule type="cellIs" dxfId="789" priority="52" stopIfTrue="1" operator="equal">
      <formula>""</formula>
    </cfRule>
  </conditionalFormatting>
  <conditionalFormatting sqref="L17:L52">
    <cfRule type="cellIs" dxfId="788" priority="53" stopIfTrue="1" operator="equal">
      <formula>"x"</formula>
    </cfRule>
    <cfRule type="cellIs" dxfId="787" priority="54" stopIfTrue="1" operator="equal">
      <formula>""</formula>
    </cfRule>
  </conditionalFormatting>
  <conditionalFormatting sqref="N17:N52">
    <cfRule type="cellIs" dxfId="786" priority="55" stopIfTrue="1" operator="equal">
      <formula>""</formula>
    </cfRule>
    <cfRule type="cellIs" dxfId="785" priority="56" stopIfTrue="1" operator="greaterThan">
      <formula>""</formula>
    </cfRule>
  </conditionalFormatting>
  <conditionalFormatting sqref="J17:K52">
    <cfRule type="cellIs" dxfId="784" priority="57" stopIfTrue="1" operator="equal">
      <formula>""</formula>
    </cfRule>
  </conditionalFormatting>
  <conditionalFormatting sqref="F17:G52">
    <cfRule type="expression" dxfId="783" priority="58" stopIfTrue="1">
      <formula>""</formula>
    </cfRule>
  </conditionalFormatting>
  <conditionalFormatting sqref="S17:S52 V17:V52 Y17:Y52 P17:P52 AB17:AB52">
    <cfRule type="cellIs" dxfId="782" priority="59" stopIfTrue="1" operator="equal">
      <formula>0</formula>
    </cfRule>
    <cfRule type="cellIs" dxfId="781" priority="60" stopIfTrue="1" operator="greaterThan">
      <formula>0</formula>
    </cfRule>
  </conditionalFormatting>
  <conditionalFormatting sqref="Q17:Q52 T17:T52 W17:W52 Z17:Z52 AC17:AC52">
    <cfRule type="cellIs" dxfId="780" priority="61" stopIfTrue="1" operator="equal">
      <formula>""</formula>
    </cfRule>
    <cfRule type="cellIs" dxfId="779" priority="62" stopIfTrue="1" operator="greaterThanOrEqual">
      <formula>1.3</formula>
    </cfRule>
    <cfRule type="cellIs" dxfId="778" priority="63" stopIfTrue="1" operator="lessThan">
      <formula>0.8</formula>
    </cfRule>
  </conditionalFormatting>
  <conditionalFormatting sqref="AV17:AV52">
    <cfRule type="cellIs" dxfId="777" priority="64" stopIfTrue="1" operator="equal">
      <formula>1</formula>
    </cfRule>
    <cfRule type="cellIs" dxfId="776" priority="65" stopIfTrue="1" operator="lessThan">
      <formula>0.8</formula>
    </cfRule>
    <cfRule type="cellIs" dxfId="775" priority="66" stopIfTrue="1" operator="between">
      <formula>0.8</formula>
      <formula>1</formula>
    </cfRule>
  </conditionalFormatting>
  <conditionalFormatting sqref="D17:D52">
    <cfRule type="cellIs" dxfId="774" priority="67" stopIfTrue="1" operator="equal">
      <formula>""</formula>
    </cfRule>
    <cfRule type="cellIs" dxfId="773" priority="68" stopIfTrue="1" operator="greaterThan">
      <formula>""</formula>
    </cfRule>
  </conditionalFormatting>
  <conditionalFormatting sqref="O17:O52">
    <cfRule type="cellIs" dxfId="772" priority="69" stopIfTrue="1" operator="equal">
      <formula>0</formula>
    </cfRule>
    <cfRule type="expression" dxfId="771" priority="70" stopIfTrue="1">
      <formula>$Q17&gt;=0.8</formula>
    </cfRule>
    <cfRule type="expression" dxfId="770" priority="71" stopIfTrue="1">
      <formula>$Q17&lt;0.8</formula>
    </cfRule>
  </conditionalFormatting>
  <conditionalFormatting sqref="R17:R52">
    <cfRule type="cellIs" dxfId="769" priority="72" stopIfTrue="1" operator="equal">
      <formula>0</formula>
    </cfRule>
    <cfRule type="expression" dxfId="768" priority="73" stopIfTrue="1">
      <formula>$T17&gt;=0.8</formula>
    </cfRule>
    <cfRule type="expression" dxfId="767" priority="74" stopIfTrue="1">
      <formula>$T17&lt;0.8</formula>
    </cfRule>
  </conditionalFormatting>
  <conditionalFormatting sqref="U17:U52">
    <cfRule type="cellIs" dxfId="766" priority="75" stopIfTrue="1" operator="equal">
      <formula>0</formula>
    </cfRule>
    <cfRule type="expression" dxfId="765" priority="76" stopIfTrue="1">
      <formula>$W17&gt;=0.8</formula>
    </cfRule>
    <cfRule type="expression" dxfId="764" priority="77" stopIfTrue="1">
      <formula>$W17&lt;0.8</formula>
    </cfRule>
  </conditionalFormatting>
  <conditionalFormatting sqref="X17:X52">
    <cfRule type="cellIs" dxfId="763" priority="78" stopIfTrue="1" operator="equal">
      <formula>0</formula>
    </cfRule>
    <cfRule type="expression" dxfId="762" priority="79" stopIfTrue="1">
      <formula>$Z17&gt;=0.8</formula>
    </cfRule>
    <cfRule type="expression" dxfId="761" priority="80" stopIfTrue="1">
      <formula>$Z17&lt;0.8</formula>
    </cfRule>
  </conditionalFormatting>
  <conditionalFormatting sqref="AA17:AA52">
    <cfRule type="cellIs" dxfId="760" priority="81" stopIfTrue="1" operator="equal">
      <formula>0</formula>
    </cfRule>
    <cfRule type="expression" dxfId="759" priority="82" stopIfTrue="1">
      <formula>$AC17&gt;=0.8</formula>
    </cfRule>
    <cfRule type="expression" dxfId="758" priority="83" stopIfTrue="1">
      <formula>$AC17&lt;0.8</formula>
    </cfRule>
  </conditionalFormatting>
  <conditionalFormatting sqref="Y10:Z12">
    <cfRule type="expression" dxfId="757" priority="163" stopIfTrue="1">
      <formula>$AA$1="ja"</formula>
    </cfRule>
    <cfRule type="expression" dxfId="756" priority="164" stopIfTrue="1">
      <formula>$AD$1="ja"</formula>
    </cfRule>
    <cfRule type="expression" dxfId="755" priority="165" stopIfTrue="1">
      <formula>$X$1="ja"</formula>
    </cfRule>
  </conditionalFormatting>
  <conditionalFormatting sqref="U10 V10:W12">
    <cfRule type="expression" dxfId="754" priority="166" stopIfTrue="1">
      <formula>$AD$1="ja"</formula>
    </cfRule>
  </conditionalFormatting>
  <conditionalFormatting sqref="C17:C52">
    <cfRule type="expression" dxfId="753" priority="2" stopIfTrue="1">
      <formula>$C17=""</formula>
    </cfRule>
    <cfRule type="expression" dxfId="752" priority="3" stopIfTrue="1">
      <formula>$C17&gt;$E17</formula>
    </cfRule>
    <cfRule type="expression" dxfId="751" priority="4" stopIfTrue="1">
      <formula>$C17&lt;$E17</formula>
    </cfRule>
  </conditionalFormatting>
  <conditionalFormatting sqref="AT17:AT52">
    <cfRule type="cellIs" dxfId="750" priority="1" stopIfTrue="1" operator="notEqual">
      <formula>""</formula>
    </cfRule>
  </conditionalFormatting>
  <dataValidations xWindow="257" yWindow="402" count="11">
    <dataValidation type="list" allowBlank="1" showInputMessage="1" showErrorMessage="1" promptTitle="kies uit:" prompt="1. PrO_x000a_2. VMBO-lwoo_x000a_3. VMBO-basis_x000a_4. VMBO-kader_x000a_5. VMBO-gemengd_x000a_6. VMBO-theorie_x000a_7. HAVO_x000a_8. VWO" sqref="BE17:BE52 BB17:BB52">
      <formula1>"pro,lwoo,vmbo-b,vmbo-k,vmbo-g,vmbo-t,havo,vwo,"</formula1>
    </dataValidation>
    <dataValidation type="list" allowBlank="1" showInputMessage="1" showErrorMessage="1" promptTitle="doublure" prompt="zet een x_x000a_als de leerling_x000a_vanaf groep 3_x000a_is gedoubleerd" sqref="AX48:AX52 AX17:AX41">
      <formula1>"--,x,"</formula1>
    </dataValidation>
    <dataValidation allowBlank="1" showInputMessage="1" showErrorMessage="1" promptTitle="sociaal competent" prompt="zet een x voor_x000a_een leerling die_x000a_moeite heeft met_x000a_soc. competentie" sqref="AZ17:AZ52"/>
    <dataValidation allowBlank="1" showInputMessage="1" showErrorMessage="1" promptTitle="invoer gegevens" prompt="gegevens verschijnen_x000a_automatisch, u hoeft_x000a_hier niets in te vullen" sqref="AW17:AW52 AY17:AY52"/>
    <dataValidation type="list" allowBlank="1" showInputMessage="1" showErrorMessage="1" promptTitle="specifieke onderwijsbehoefte" prompt="zet een x voor een leerling met_x000a_een specifieke onderwijsbehoefte" sqref="L52">
      <formula1>"--,x,"</formula1>
    </dataValidation>
    <dataValidation allowBlank="1" showInputMessage="1" showErrorMessage="1" promptTitle="in te vullen niveau" prompt="vul in: A-B-C-D-E_x000a_     of: 1-2-3-4-5" sqref="P17:Q52 Y17:Z52 S17:T52 V17:W52 AB17:AC52"/>
    <dataValidation allowBlank="1" showInputMessage="1" showErrorMessage="1" promptTitle="specifieke onderwijsbehoefte" prompt="zet een x voor een leerling met_x000a_een specifieke onderwijsbehoefte" sqref="L17:L51"/>
    <dataValidation allowBlank="1" showInputMessage="1" showErrorMessage="1" promptTitle="doublure" prompt="zet een x_x000a_als de leerling_x000a_vanaf groep 3_x000a_is gedoubleerd" sqref="M17:M52"/>
    <dataValidation type="list" allowBlank="1" showInputMessage="1" showErrorMessage="1" promptTitle="Kies uit:" prompt="1. PrO_x000a_2. VMBO-lwoo_x000a_3. VMBO-basis_x000a_4. VMBO-kader_x000a_5. VMBO-gemengd_x000a_6. VMBO-theorie_x000a_7. HAVO_x000a_8. VWO" sqref="N17:N52">
      <formula1>"pro,lwoo,vmbo-b,vmbo-k,vmbo-g,vmbo-t,havo,vwo"</formula1>
    </dataValidation>
    <dataValidation allowBlank="1" showInputMessage="1" showErrorMessage="1" promptTitle="in te vullen niveau" prompt="vul in: A-B-C-D-E" sqref="C17:C52 E17:E52"/>
    <dataValidation allowBlank="1" showInputMessage="1" showErrorMessage="1" promptTitle="invoer gegevens" prompt="gegevens verschijnen automatisch, u hoeft hier niets in te vullen" sqref="J17:K52 D17:D52"/>
  </dataValidations>
  <pageMargins left="0.43" right="0.2" top="2.02" bottom="0.22" header="0.13" footer="0.14000000000000001"/>
  <pageSetup paperSize="9" scale="51" orientation="landscape" horizontalDpi="4294967293" r:id="rId1"/>
  <headerFooter alignWithMargins="0">
    <oddHeader>&amp;C&amp;"Comic Sans MS,Standaard"&amp;16Tussenresultaten: groep 3 - 4 - 6
Eindresultaten - groep 8</oddHeader>
    <oddFooter>&amp;L&amp;8© Meesterwerk / Harrie Meinen</oddFooter>
  </headerFooter>
  <rowBreaks count="1" manualBreakCount="1">
    <brk id="55" max="5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32</vt:i4>
      </vt:variant>
      <vt:variant>
        <vt:lpstr>Benoemde bereiken</vt:lpstr>
      </vt:variant>
      <vt:variant>
        <vt:i4>31</vt:i4>
      </vt:variant>
    </vt:vector>
  </HeadingPairs>
  <TitlesOfParts>
    <vt:vector size="63" baseType="lpstr">
      <vt:lpstr>BEGINBLAD</vt:lpstr>
      <vt:lpstr>NW - M4</vt:lpstr>
      <vt:lpstr>RIO - M4</vt:lpstr>
      <vt:lpstr>OP - M4</vt:lpstr>
      <vt:lpstr>NW - E4</vt:lpstr>
      <vt:lpstr>RIO - E4</vt:lpstr>
      <vt:lpstr>OP - E4</vt:lpstr>
      <vt:lpstr>NW - M5</vt:lpstr>
      <vt:lpstr>RIO - M5</vt:lpstr>
      <vt:lpstr>OP - M5</vt:lpstr>
      <vt:lpstr>NW - E5</vt:lpstr>
      <vt:lpstr>RIO - E5</vt:lpstr>
      <vt:lpstr>OP - E5</vt:lpstr>
      <vt:lpstr>NW - M6</vt:lpstr>
      <vt:lpstr>RIO - M6</vt:lpstr>
      <vt:lpstr>OP - M6</vt:lpstr>
      <vt:lpstr>NW - E6</vt:lpstr>
      <vt:lpstr>RIO - E6</vt:lpstr>
      <vt:lpstr>OP - E6</vt:lpstr>
      <vt:lpstr>NW - M7</vt:lpstr>
      <vt:lpstr>RIO - M7</vt:lpstr>
      <vt:lpstr>OP - M7</vt:lpstr>
      <vt:lpstr>NW - E7</vt:lpstr>
      <vt:lpstr>RIO - E7</vt:lpstr>
      <vt:lpstr>OP - E7</vt:lpstr>
      <vt:lpstr>NW - M8</vt:lpstr>
      <vt:lpstr>RIO - M8</vt:lpstr>
      <vt:lpstr>OP - M8</vt:lpstr>
      <vt:lpstr>Lijn-Profiel per vak</vt:lpstr>
      <vt:lpstr>Staaf-Profiel per vak</vt:lpstr>
      <vt:lpstr>Lijn-TOPP</vt:lpstr>
      <vt:lpstr>Staaf-TOPP</vt:lpstr>
      <vt:lpstr>'Lijn-Profiel per vak'!Afdrukbereik</vt:lpstr>
      <vt:lpstr>'Lijn-TOPP'!Afdrukbereik</vt:lpstr>
      <vt:lpstr>'NW - E4'!Afdrukbereik</vt:lpstr>
      <vt:lpstr>'NW - E5'!Afdrukbereik</vt:lpstr>
      <vt:lpstr>'NW - E6'!Afdrukbereik</vt:lpstr>
      <vt:lpstr>'NW - E7'!Afdrukbereik</vt:lpstr>
      <vt:lpstr>'NW - M4'!Afdrukbereik</vt:lpstr>
      <vt:lpstr>'NW - M5'!Afdrukbereik</vt:lpstr>
      <vt:lpstr>'NW - M6'!Afdrukbereik</vt:lpstr>
      <vt:lpstr>'NW - M7'!Afdrukbereik</vt:lpstr>
      <vt:lpstr>'NW - M8'!Afdrukbereik</vt:lpstr>
      <vt:lpstr>'OP - E4'!Afdrukbereik</vt:lpstr>
      <vt:lpstr>'OP - E5'!Afdrukbereik</vt:lpstr>
      <vt:lpstr>'OP - E6'!Afdrukbereik</vt:lpstr>
      <vt:lpstr>'OP - E7'!Afdrukbereik</vt:lpstr>
      <vt:lpstr>'OP - M4'!Afdrukbereik</vt:lpstr>
      <vt:lpstr>'OP - M5'!Afdrukbereik</vt:lpstr>
      <vt:lpstr>'OP - M6'!Afdrukbereik</vt:lpstr>
      <vt:lpstr>'OP - M7'!Afdrukbereik</vt:lpstr>
      <vt:lpstr>'OP - M8'!Afdrukbereik</vt:lpstr>
      <vt:lpstr>'RIO - E4'!Afdrukbereik</vt:lpstr>
      <vt:lpstr>'RIO - E5'!Afdrukbereik</vt:lpstr>
      <vt:lpstr>'RIO - E6'!Afdrukbereik</vt:lpstr>
      <vt:lpstr>'RIO - E7'!Afdrukbereik</vt:lpstr>
      <vt:lpstr>'RIO - M4'!Afdrukbereik</vt:lpstr>
      <vt:lpstr>'RIO - M5'!Afdrukbereik</vt:lpstr>
      <vt:lpstr>'RIO - M6'!Afdrukbereik</vt:lpstr>
      <vt:lpstr>'RIO - M7'!Afdrukbereik</vt:lpstr>
      <vt:lpstr>'RIO - M8'!Afdrukbereik</vt:lpstr>
      <vt:lpstr>'Staaf-Profiel per vak'!Afdrukbereik</vt:lpstr>
      <vt:lpstr>'Staaf-TOPP'!Afdrukbereik</vt:lpstr>
    </vt:vector>
  </TitlesOfParts>
  <Company>Thuis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School</dc:creator>
  <cp:lastModifiedBy>Gebruiker</cp:lastModifiedBy>
  <cp:lastPrinted>2015-04-25T20:10:11Z</cp:lastPrinted>
  <dcterms:created xsi:type="dcterms:W3CDTF">2009-03-13T17:46:41Z</dcterms:created>
  <dcterms:modified xsi:type="dcterms:W3CDTF">2015-05-25T10:00:14Z</dcterms:modified>
</cp:coreProperties>
</file>