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000000 - REGENBOOG\"/>
    </mc:Choice>
  </mc:AlternateContent>
  <xr:revisionPtr revIDLastSave="0" documentId="13_ncr:1_{1548A3F9-29FA-4916-8432-AA5A92F8F28D}" xr6:coauthVersionLast="47" xr6:coauthVersionMax="47" xr10:uidLastSave="{00000000-0000-0000-0000-000000000000}"/>
  <bookViews>
    <workbookView xWindow="-108" yWindow="-108" windowWidth="23256" windowHeight="12456" tabRatio="997" firstSheet="3" activeTab="4" xr2:uid="{00000000-000D-0000-FFFF-FFFF00000000}"/>
  </bookViews>
  <sheets>
    <sheet name="leerrendement" sheetId="44" r:id="rId1"/>
    <sheet name="blad verbergen" sheetId="42" r:id="rId2"/>
    <sheet name="schoolweging" sheetId="32" r:id="rId3"/>
    <sheet name="de indicatoren" sheetId="21" r:id="rId4"/>
    <sheet name="INTRO" sheetId="38" r:id="rId5"/>
    <sheet name="groep 3" sheetId="13" r:id="rId6"/>
    <sheet name="OP-3" sheetId="33" r:id="rId7"/>
    <sheet name="groep 4" sheetId="8" r:id="rId8"/>
    <sheet name="OP-4" sheetId="31" r:id="rId9"/>
    <sheet name="groep 5" sheetId="14" r:id="rId10"/>
    <sheet name="OP-5" sheetId="34" r:id="rId11"/>
    <sheet name="groep 6" sheetId="15" r:id="rId12"/>
    <sheet name="OP-6" sheetId="35" r:id="rId13"/>
    <sheet name="groep 7" sheetId="17" r:id="rId14"/>
    <sheet name="OP-7" sheetId="36" r:id="rId15"/>
    <sheet name="groep 8" sheetId="16" r:id="rId16"/>
    <sheet name="OP-8" sheetId="37" r:id="rId17"/>
    <sheet name="TOTAAL" sheetId="19" r:id="rId18"/>
    <sheet name="DOORGAANDE LIJN" sheetId="43" r:id="rId19"/>
    <sheet name="BASIS" sheetId="39" r:id="rId20"/>
    <sheet name="INTENSIEF" sheetId="40" r:id="rId21"/>
    <sheet name="VERRIJKT" sheetId="41" r:id="rId22"/>
  </sheets>
  <definedNames>
    <definedName name="_xlnm.Print_Area" localSheetId="19">BASIS!$A$1:$I$40</definedName>
    <definedName name="_xlnm.Print_Area" localSheetId="3">'de indicatoren'!$A$1:$S$30</definedName>
    <definedName name="_xlnm.Print_Area" localSheetId="18">'DOORGAANDE LIJN'!$A$1:$I$40</definedName>
    <definedName name="_xlnm.Print_Area" localSheetId="5">'groep 3'!$A$2:$AZ$56</definedName>
    <definedName name="_xlnm.Print_Area" localSheetId="7">'groep 4'!$A$2:$AZ$56</definedName>
    <definedName name="_xlnm.Print_Area" localSheetId="9">'groep 5'!$A$2:$AZ$56</definedName>
    <definedName name="_xlnm.Print_Area" localSheetId="11">'groep 6'!$A$2:$AZ$56</definedName>
    <definedName name="_xlnm.Print_Area" localSheetId="13">'groep 7'!$A$2:$AZ$56</definedName>
    <definedName name="_xlnm.Print_Area" localSheetId="15">'groep 8'!$A$2:$AZ$56</definedName>
    <definedName name="_xlnm.Print_Area" localSheetId="20">INTENSIEF!$A$1:$I$40</definedName>
    <definedName name="_xlnm.Print_Area" localSheetId="4">INTRO!$A$1:$AB$45</definedName>
    <definedName name="_xlnm.Print_Area" localSheetId="6">'OP-3'!$C$2:$AD$55</definedName>
    <definedName name="_xlnm.Print_Area" localSheetId="8">'OP-4'!$C$2:$AD$55</definedName>
    <definedName name="_xlnm.Print_Area" localSheetId="10">'OP-5'!$C$2:$AD$55</definedName>
    <definedName name="_xlnm.Print_Area" localSheetId="12">'OP-6'!$C$2:$AD$55</definedName>
    <definedName name="_xlnm.Print_Area" localSheetId="14">'OP-7'!$C$2:$AD$55</definedName>
    <definedName name="_xlnm.Print_Area" localSheetId="16">'OP-8'!$C$2:$AD$55</definedName>
    <definedName name="_xlnm.Print_Area" localSheetId="17">TOTAAL!$A$2:$AB$49</definedName>
    <definedName name="_xlnm.Print_Area" localSheetId="21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4" i="13" l="1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P54" i="13"/>
  <c r="AV53" i="13"/>
  <c r="AW53" i="13" s="1"/>
  <c r="AT53" i="13"/>
  <c r="AS53" i="13"/>
  <c r="AR53" i="13"/>
  <c r="AQ53" i="13"/>
  <c r="AV52" i="13"/>
  <c r="AW52" i="13" s="1"/>
  <c r="AT52" i="13"/>
  <c r="AS52" i="13"/>
  <c r="AR52" i="13"/>
  <c r="AQ52" i="13"/>
  <c r="AV51" i="13"/>
  <c r="AW51" i="13" s="1"/>
  <c r="AT51" i="13"/>
  <c r="AS51" i="13"/>
  <c r="AR51" i="13"/>
  <c r="AQ51" i="13"/>
  <c r="AV50" i="13"/>
  <c r="AW50" i="13" s="1"/>
  <c r="AT50" i="13"/>
  <c r="AS50" i="13"/>
  <c r="AR50" i="13"/>
  <c r="AQ50" i="13"/>
  <c r="AV49" i="13"/>
  <c r="AW49" i="13" s="1"/>
  <c r="AT49" i="13"/>
  <c r="AS49" i="13"/>
  <c r="AR49" i="13"/>
  <c r="AQ49" i="13"/>
  <c r="AV48" i="13"/>
  <c r="AW48" i="13" s="1"/>
  <c r="AT48" i="13"/>
  <c r="AS48" i="13"/>
  <c r="AR48" i="13"/>
  <c r="AQ48" i="13"/>
  <c r="AV47" i="13"/>
  <c r="AW47" i="13" s="1"/>
  <c r="AT47" i="13"/>
  <c r="AS47" i="13"/>
  <c r="AR47" i="13"/>
  <c r="AQ47" i="13"/>
  <c r="AV46" i="13"/>
  <c r="AW46" i="13" s="1"/>
  <c r="AT46" i="13"/>
  <c r="AS46" i="13"/>
  <c r="AR46" i="13"/>
  <c r="AQ46" i="13"/>
  <c r="AV45" i="13"/>
  <c r="AW45" i="13" s="1"/>
  <c r="AT45" i="13"/>
  <c r="AS45" i="13"/>
  <c r="AR45" i="13"/>
  <c r="AQ45" i="13"/>
  <c r="AV44" i="13"/>
  <c r="AW44" i="13" s="1"/>
  <c r="AT44" i="13"/>
  <c r="AS44" i="13"/>
  <c r="AR44" i="13"/>
  <c r="AQ44" i="13"/>
  <c r="AV43" i="13"/>
  <c r="AW43" i="13" s="1"/>
  <c r="AT43" i="13"/>
  <c r="AS43" i="13"/>
  <c r="AR43" i="13"/>
  <c r="AQ43" i="13"/>
  <c r="AV42" i="13"/>
  <c r="AW42" i="13" s="1"/>
  <c r="AT42" i="13"/>
  <c r="AS42" i="13"/>
  <c r="AR42" i="13"/>
  <c r="AQ42" i="13"/>
  <c r="AV41" i="13"/>
  <c r="AW41" i="13" s="1"/>
  <c r="AT41" i="13"/>
  <c r="AS41" i="13"/>
  <c r="AR41" i="13"/>
  <c r="AQ41" i="13"/>
  <c r="AV40" i="13"/>
  <c r="AW40" i="13" s="1"/>
  <c r="AT40" i="13"/>
  <c r="AS40" i="13"/>
  <c r="AR40" i="13"/>
  <c r="AQ40" i="13"/>
  <c r="AV39" i="13"/>
  <c r="AW39" i="13" s="1"/>
  <c r="AT39" i="13"/>
  <c r="AS39" i="13"/>
  <c r="AR39" i="13"/>
  <c r="AQ39" i="13"/>
  <c r="AV38" i="13"/>
  <c r="AW38" i="13" s="1"/>
  <c r="AT38" i="13"/>
  <c r="AS38" i="13"/>
  <c r="AR38" i="13"/>
  <c r="AQ38" i="13"/>
  <c r="AV37" i="13"/>
  <c r="AW37" i="13" s="1"/>
  <c r="AT37" i="13"/>
  <c r="AS37" i="13"/>
  <c r="AR37" i="13"/>
  <c r="AQ37" i="13"/>
  <c r="AV36" i="13"/>
  <c r="AW36" i="13" s="1"/>
  <c r="AT36" i="13"/>
  <c r="AS36" i="13"/>
  <c r="AR36" i="13"/>
  <c r="AQ36" i="13"/>
  <c r="AV35" i="13"/>
  <c r="AW35" i="13" s="1"/>
  <c r="AT35" i="13"/>
  <c r="AS35" i="13"/>
  <c r="AR35" i="13"/>
  <c r="AQ35" i="13"/>
  <c r="AV34" i="13"/>
  <c r="AW34" i="13" s="1"/>
  <c r="AT34" i="13"/>
  <c r="AS34" i="13"/>
  <c r="AR34" i="13"/>
  <c r="AQ34" i="13"/>
  <c r="AV33" i="13"/>
  <c r="AW33" i="13" s="1"/>
  <c r="AT33" i="13"/>
  <c r="AS33" i="13"/>
  <c r="AR33" i="13"/>
  <c r="AQ33" i="13"/>
  <c r="AV32" i="13"/>
  <c r="AW32" i="13" s="1"/>
  <c r="AT32" i="13"/>
  <c r="AS32" i="13"/>
  <c r="AR32" i="13"/>
  <c r="AQ32" i="13"/>
  <c r="AV31" i="13"/>
  <c r="AW31" i="13" s="1"/>
  <c r="AT31" i="13"/>
  <c r="AS31" i="13"/>
  <c r="AR31" i="13"/>
  <c r="AQ31" i="13"/>
  <c r="AV30" i="13"/>
  <c r="AW30" i="13" s="1"/>
  <c r="AT30" i="13"/>
  <c r="AS30" i="13"/>
  <c r="AR30" i="13"/>
  <c r="AQ30" i="13"/>
  <c r="AV29" i="13"/>
  <c r="AW29" i="13" s="1"/>
  <c r="AT29" i="13"/>
  <c r="AS29" i="13"/>
  <c r="AR29" i="13"/>
  <c r="AQ29" i="13"/>
  <c r="AV28" i="13"/>
  <c r="AW28" i="13" s="1"/>
  <c r="AT28" i="13"/>
  <c r="AS28" i="13"/>
  <c r="AR28" i="13"/>
  <c r="AQ28" i="13"/>
  <c r="AV27" i="13"/>
  <c r="AW27" i="13" s="1"/>
  <c r="AT27" i="13"/>
  <c r="AS27" i="13"/>
  <c r="AR27" i="13"/>
  <c r="AQ27" i="13"/>
  <c r="AV26" i="13"/>
  <c r="AW26" i="13" s="1"/>
  <c r="AT26" i="13"/>
  <c r="AS26" i="13"/>
  <c r="AR26" i="13"/>
  <c r="AQ26" i="13"/>
  <c r="AV25" i="13"/>
  <c r="AW25" i="13" s="1"/>
  <c r="AT25" i="13"/>
  <c r="AS25" i="13"/>
  <c r="AR25" i="13"/>
  <c r="AQ25" i="13"/>
  <c r="AT24" i="13"/>
  <c r="AS24" i="13"/>
  <c r="AR24" i="13"/>
  <c r="AQ24" i="13"/>
  <c r="AT23" i="13"/>
  <c r="AS23" i="13"/>
  <c r="AR23" i="13"/>
  <c r="AQ23" i="13"/>
  <c r="AT22" i="13"/>
  <c r="AS22" i="13"/>
  <c r="AR22" i="13"/>
  <c r="AQ22" i="13"/>
  <c r="AT21" i="13"/>
  <c r="AS21" i="13"/>
  <c r="AR21" i="13"/>
  <c r="AQ21" i="13"/>
  <c r="AT20" i="13"/>
  <c r="AS20" i="13"/>
  <c r="AR20" i="13"/>
  <c r="AQ20" i="13"/>
  <c r="AT19" i="13"/>
  <c r="AS19" i="13"/>
  <c r="AR19" i="13"/>
  <c r="AQ19" i="13"/>
  <c r="AT18" i="13"/>
  <c r="AS18" i="13"/>
  <c r="AR18" i="13"/>
  <c r="AQ18" i="13"/>
  <c r="AV53" i="8"/>
  <c r="AW53" i="8" s="1"/>
  <c r="AT53" i="8"/>
  <c r="AS53" i="8"/>
  <c r="AR53" i="8"/>
  <c r="AQ53" i="8"/>
  <c r="AV52" i="8"/>
  <c r="AW52" i="8" s="1"/>
  <c r="AT52" i="8"/>
  <c r="AS52" i="8"/>
  <c r="AR52" i="8"/>
  <c r="AQ52" i="8"/>
  <c r="AV51" i="8"/>
  <c r="AW51" i="8" s="1"/>
  <c r="AT51" i="8"/>
  <c r="AS51" i="8"/>
  <c r="AR51" i="8"/>
  <c r="AQ51" i="8"/>
  <c r="AV50" i="8"/>
  <c r="AW50" i="8" s="1"/>
  <c r="AT50" i="8"/>
  <c r="AS50" i="8"/>
  <c r="AR50" i="8"/>
  <c r="AQ50" i="8"/>
  <c r="AV49" i="8"/>
  <c r="AW49" i="8" s="1"/>
  <c r="AT49" i="8"/>
  <c r="AS49" i="8"/>
  <c r="AR49" i="8"/>
  <c r="AQ49" i="8"/>
  <c r="AV48" i="8"/>
  <c r="AW48" i="8" s="1"/>
  <c r="AT48" i="8"/>
  <c r="AS48" i="8"/>
  <c r="AR48" i="8"/>
  <c r="AQ48" i="8"/>
  <c r="AV47" i="8"/>
  <c r="AW47" i="8" s="1"/>
  <c r="AT47" i="8"/>
  <c r="AS47" i="8"/>
  <c r="AR47" i="8"/>
  <c r="AQ47" i="8"/>
  <c r="AV46" i="8"/>
  <c r="AW46" i="8" s="1"/>
  <c r="AT46" i="8"/>
  <c r="AS46" i="8"/>
  <c r="AR46" i="8"/>
  <c r="AQ46" i="8"/>
  <c r="AV45" i="8"/>
  <c r="AW45" i="8" s="1"/>
  <c r="AT45" i="8"/>
  <c r="AS45" i="8"/>
  <c r="AR45" i="8"/>
  <c r="AQ45" i="8"/>
  <c r="AV44" i="8"/>
  <c r="AW44" i="8" s="1"/>
  <c r="AT44" i="8"/>
  <c r="AS44" i="8"/>
  <c r="AR44" i="8"/>
  <c r="AQ44" i="8"/>
  <c r="AV43" i="8"/>
  <c r="AW43" i="8" s="1"/>
  <c r="AT43" i="8"/>
  <c r="AS43" i="8"/>
  <c r="AR43" i="8"/>
  <c r="AQ43" i="8"/>
  <c r="AV42" i="8"/>
  <c r="AW42" i="8" s="1"/>
  <c r="AT42" i="8"/>
  <c r="AS42" i="8"/>
  <c r="AR42" i="8"/>
  <c r="AQ42" i="8"/>
  <c r="AV41" i="8"/>
  <c r="AW41" i="8" s="1"/>
  <c r="AT41" i="8"/>
  <c r="AS41" i="8"/>
  <c r="AR41" i="8"/>
  <c r="AQ41" i="8"/>
  <c r="AV40" i="8"/>
  <c r="AW40" i="8" s="1"/>
  <c r="AT40" i="8"/>
  <c r="AS40" i="8"/>
  <c r="AR40" i="8"/>
  <c r="AQ40" i="8"/>
  <c r="AV39" i="8"/>
  <c r="AW39" i="8" s="1"/>
  <c r="AT39" i="8"/>
  <c r="AS39" i="8"/>
  <c r="AR39" i="8"/>
  <c r="AQ39" i="8"/>
  <c r="AV38" i="8"/>
  <c r="AW38" i="8" s="1"/>
  <c r="AT38" i="8"/>
  <c r="AS38" i="8"/>
  <c r="AR38" i="8"/>
  <c r="AQ38" i="8"/>
  <c r="AV37" i="8"/>
  <c r="AW37" i="8" s="1"/>
  <c r="AT37" i="8"/>
  <c r="AS37" i="8"/>
  <c r="AR37" i="8"/>
  <c r="AQ37" i="8"/>
  <c r="AV36" i="8"/>
  <c r="AW36" i="8" s="1"/>
  <c r="AT36" i="8"/>
  <c r="AS36" i="8"/>
  <c r="AR36" i="8"/>
  <c r="AQ36" i="8"/>
  <c r="AV35" i="8"/>
  <c r="AW35" i="8" s="1"/>
  <c r="AT35" i="8"/>
  <c r="AS35" i="8"/>
  <c r="AR35" i="8"/>
  <c r="AQ35" i="8"/>
  <c r="AV34" i="8"/>
  <c r="AW34" i="8" s="1"/>
  <c r="AT34" i="8"/>
  <c r="AS34" i="8"/>
  <c r="AR34" i="8"/>
  <c r="AQ34" i="8"/>
  <c r="AV33" i="8"/>
  <c r="AW33" i="8" s="1"/>
  <c r="AT33" i="8"/>
  <c r="AS33" i="8"/>
  <c r="AR33" i="8"/>
  <c r="AQ33" i="8"/>
  <c r="AV32" i="8"/>
  <c r="AW32" i="8" s="1"/>
  <c r="AT32" i="8"/>
  <c r="AS32" i="8"/>
  <c r="AR32" i="8"/>
  <c r="AQ32" i="8"/>
  <c r="AV31" i="8"/>
  <c r="AW31" i="8" s="1"/>
  <c r="AT31" i="8"/>
  <c r="AS31" i="8"/>
  <c r="AR31" i="8"/>
  <c r="AQ31" i="8"/>
  <c r="AV30" i="8"/>
  <c r="AW30" i="8" s="1"/>
  <c r="AT30" i="8"/>
  <c r="AS30" i="8"/>
  <c r="AR30" i="8"/>
  <c r="AQ30" i="8"/>
  <c r="AV29" i="8"/>
  <c r="AW29" i="8" s="1"/>
  <c r="AT29" i="8"/>
  <c r="AS29" i="8"/>
  <c r="AR29" i="8"/>
  <c r="AQ29" i="8"/>
  <c r="AV28" i="8"/>
  <c r="AW28" i="8" s="1"/>
  <c r="AT28" i="8"/>
  <c r="AS28" i="8"/>
  <c r="AR28" i="8"/>
  <c r="AQ28" i="8"/>
  <c r="AV27" i="8"/>
  <c r="AW27" i="8" s="1"/>
  <c r="AT27" i="8"/>
  <c r="AS27" i="8"/>
  <c r="AR27" i="8"/>
  <c r="AQ27" i="8"/>
  <c r="AV26" i="8"/>
  <c r="AW26" i="8" s="1"/>
  <c r="AT26" i="8"/>
  <c r="AS26" i="8"/>
  <c r="AR26" i="8"/>
  <c r="AQ26" i="8"/>
  <c r="AV25" i="8"/>
  <c r="AW25" i="8" s="1"/>
  <c r="AT25" i="8"/>
  <c r="AS25" i="8"/>
  <c r="AR25" i="8"/>
  <c r="AQ25" i="8"/>
  <c r="AT24" i="8"/>
  <c r="AS24" i="8"/>
  <c r="AR24" i="8"/>
  <c r="AQ24" i="8"/>
  <c r="AT23" i="8"/>
  <c r="AS23" i="8"/>
  <c r="AR23" i="8"/>
  <c r="AQ23" i="8"/>
  <c r="AT22" i="8"/>
  <c r="AS22" i="8"/>
  <c r="AR22" i="8"/>
  <c r="AQ22" i="8"/>
  <c r="AT21" i="8"/>
  <c r="AS21" i="8"/>
  <c r="AR21" i="8"/>
  <c r="AQ21" i="8"/>
  <c r="AT20" i="8"/>
  <c r="AS20" i="8"/>
  <c r="AR20" i="8"/>
  <c r="AQ20" i="8"/>
  <c r="AT19" i="8"/>
  <c r="AS19" i="8"/>
  <c r="AR19" i="8"/>
  <c r="AQ19" i="8"/>
  <c r="AT18" i="8"/>
  <c r="AS18" i="8"/>
  <c r="AR18" i="8"/>
  <c r="AQ18" i="8"/>
  <c r="AV53" i="14"/>
  <c r="AW53" i="14" s="1"/>
  <c r="AT53" i="14"/>
  <c r="AS53" i="14"/>
  <c r="AR53" i="14"/>
  <c r="AQ53" i="14"/>
  <c r="AV52" i="14"/>
  <c r="AW52" i="14" s="1"/>
  <c r="AT52" i="14"/>
  <c r="AS52" i="14"/>
  <c r="AR52" i="14"/>
  <c r="AQ52" i="14"/>
  <c r="AV51" i="14"/>
  <c r="AW51" i="14" s="1"/>
  <c r="AT51" i="14"/>
  <c r="AS51" i="14"/>
  <c r="AR51" i="14"/>
  <c r="AQ51" i="14"/>
  <c r="AV50" i="14"/>
  <c r="AW50" i="14" s="1"/>
  <c r="AT50" i="14"/>
  <c r="AS50" i="14"/>
  <c r="AR50" i="14"/>
  <c r="AQ50" i="14"/>
  <c r="AV49" i="14"/>
  <c r="AW49" i="14" s="1"/>
  <c r="AT49" i="14"/>
  <c r="AS49" i="14"/>
  <c r="AR49" i="14"/>
  <c r="AQ49" i="14"/>
  <c r="AV48" i="14"/>
  <c r="AW48" i="14" s="1"/>
  <c r="AT48" i="14"/>
  <c r="AS48" i="14"/>
  <c r="AR48" i="14"/>
  <c r="AQ48" i="14"/>
  <c r="AV47" i="14"/>
  <c r="AW47" i="14" s="1"/>
  <c r="AT47" i="14"/>
  <c r="AS47" i="14"/>
  <c r="AR47" i="14"/>
  <c r="AQ47" i="14"/>
  <c r="AV46" i="14"/>
  <c r="AW46" i="14" s="1"/>
  <c r="AT46" i="14"/>
  <c r="AS46" i="14"/>
  <c r="AR46" i="14"/>
  <c r="AQ46" i="14"/>
  <c r="AV45" i="14"/>
  <c r="AW45" i="14" s="1"/>
  <c r="AT45" i="14"/>
  <c r="AS45" i="14"/>
  <c r="AR45" i="14"/>
  <c r="AQ45" i="14"/>
  <c r="AV44" i="14"/>
  <c r="AW44" i="14" s="1"/>
  <c r="AT44" i="14"/>
  <c r="AS44" i="14"/>
  <c r="AR44" i="14"/>
  <c r="AQ44" i="14"/>
  <c r="AV43" i="14"/>
  <c r="AW43" i="14" s="1"/>
  <c r="AT43" i="14"/>
  <c r="AS43" i="14"/>
  <c r="AR43" i="14"/>
  <c r="AQ43" i="14"/>
  <c r="AV42" i="14"/>
  <c r="AW42" i="14" s="1"/>
  <c r="AT42" i="14"/>
  <c r="AS42" i="14"/>
  <c r="AR42" i="14"/>
  <c r="AQ42" i="14"/>
  <c r="AV41" i="14"/>
  <c r="AW41" i="14" s="1"/>
  <c r="AT41" i="14"/>
  <c r="AS41" i="14"/>
  <c r="AR41" i="14"/>
  <c r="AQ41" i="14"/>
  <c r="AV40" i="14"/>
  <c r="AW40" i="14" s="1"/>
  <c r="AT40" i="14"/>
  <c r="AS40" i="14"/>
  <c r="AR40" i="14"/>
  <c r="AQ40" i="14"/>
  <c r="AV39" i="14"/>
  <c r="AW39" i="14" s="1"/>
  <c r="AT39" i="14"/>
  <c r="AS39" i="14"/>
  <c r="AR39" i="14"/>
  <c r="AQ39" i="14"/>
  <c r="AV38" i="14"/>
  <c r="AW38" i="14" s="1"/>
  <c r="AT38" i="14"/>
  <c r="AS38" i="14"/>
  <c r="AR38" i="14"/>
  <c r="AQ38" i="14"/>
  <c r="AV37" i="14"/>
  <c r="AW37" i="14" s="1"/>
  <c r="AT37" i="14"/>
  <c r="AS37" i="14"/>
  <c r="AR37" i="14"/>
  <c r="AQ37" i="14"/>
  <c r="AV36" i="14"/>
  <c r="AW36" i="14" s="1"/>
  <c r="AT36" i="14"/>
  <c r="AS36" i="14"/>
  <c r="AR36" i="14"/>
  <c r="AQ36" i="14"/>
  <c r="AV35" i="14"/>
  <c r="AW35" i="14" s="1"/>
  <c r="AT35" i="14"/>
  <c r="AS35" i="14"/>
  <c r="AR35" i="14"/>
  <c r="AQ35" i="14"/>
  <c r="AV34" i="14"/>
  <c r="AW34" i="14" s="1"/>
  <c r="AT34" i="14"/>
  <c r="AS34" i="14"/>
  <c r="AR34" i="14"/>
  <c r="AQ34" i="14"/>
  <c r="AV33" i="14"/>
  <c r="AW33" i="14" s="1"/>
  <c r="AT33" i="14"/>
  <c r="AS33" i="14"/>
  <c r="AR33" i="14"/>
  <c r="AQ33" i="14"/>
  <c r="AV32" i="14"/>
  <c r="AW32" i="14" s="1"/>
  <c r="AT32" i="14"/>
  <c r="AS32" i="14"/>
  <c r="AR32" i="14"/>
  <c r="AQ32" i="14"/>
  <c r="AV31" i="14"/>
  <c r="AW31" i="14" s="1"/>
  <c r="AT31" i="14"/>
  <c r="AS31" i="14"/>
  <c r="AR31" i="14"/>
  <c r="AQ31" i="14"/>
  <c r="AV30" i="14"/>
  <c r="AW30" i="14" s="1"/>
  <c r="AT30" i="14"/>
  <c r="AS30" i="14"/>
  <c r="AR30" i="14"/>
  <c r="AQ30" i="14"/>
  <c r="AV29" i="14"/>
  <c r="AW29" i="14" s="1"/>
  <c r="AT29" i="14"/>
  <c r="AS29" i="14"/>
  <c r="AR29" i="14"/>
  <c r="AQ29" i="14"/>
  <c r="AV28" i="14"/>
  <c r="AW28" i="14" s="1"/>
  <c r="AT28" i="14"/>
  <c r="AS28" i="14"/>
  <c r="AR28" i="14"/>
  <c r="AQ28" i="14"/>
  <c r="AV27" i="14"/>
  <c r="AW27" i="14" s="1"/>
  <c r="AT27" i="14"/>
  <c r="AS27" i="14"/>
  <c r="AR27" i="14"/>
  <c r="AQ27" i="14"/>
  <c r="AV26" i="14"/>
  <c r="AW26" i="14" s="1"/>
  <c r="AT26" i="14"/>
  <c r="AS26" i="14"/>
  <c r="AR26" i="14"/>
  <c r="AQ26" i="14"/>
  <c r="AV25" i="14"/>
  <c r="AW25" i="14" s="1"/>
  <c r="AT25" i="14"/>
  <c r="AS25" i="14"/>
  <c r="AR25" i="14"/>
  <c r="AQ25" i="14"/>
  <c r="AT24" i="14"/>
  <c r="AS24" i="14"/>
  <c r="AR24" i="14"/>
  <c r="AQ24" i="14"/>
  <c r="AT23" i="14"/>
  <c r="AS23" i="14"/>
  <c r="AR23" i="14"/>
  <c r="AQ23" i="14"/>
  <c r="AT22" i="14"/>
  <c r="AS22" i="14"/>
  <c r="AR22" i="14"/>
  <c r="AQ22" i="14"/>
  <c r="AT21" i="14"/>
  <c r="AS21" i="14"/>
  <c r="AR21" i="14"/>
  <c r="AQ21" i="14"/>
  <c r="AT20" i="14"/>
  <c r="AS20" i="14"/>
  <c r="AR20" i="14"/>
  <c r="AQ20" i="14"/>
  <c r="AT19" i="14"/>
  <c r="AS19" i="14"/>
  <c r="AR19" i="14"/>
  <c r="AQ19" i="14"/>
  <c r="AT18" i="14"/>
  <c r="AS18" i="14"/>
  <c r="AR18" i="14"/>
  <c r="AQ18" i="14"/>
  <c r="AV53" i="15"/>
  <c r="AW53" i="15" s="1"/>
  <c r="AT53" i="15"/>
  <c r="AS53" i="15"/>
  <c r="AR53" i="15"/>
  <c r="AQ53" i="15"/>
  <c r="AV52" i="15"/>
  <c r="AW52" i="15" s="1"/>
  <c r="AT52" i="15"/>
  <c r="AS52" i="15"/>
  <c r="AR52" i="15"/>
  <c r="AQ52" i="15"/>
  <c r="AV51" i="15"/>
  <c r="AW51" i="15" s="1"/>
  <c r="AT51" i="15"/>
  <c r="AS51" i="15"/>
  <c r="AR51" i="15"/>
  <c r="AQ51" i="15"/>
  <c r="AV50" i="15"/>
  <c r="AW50" i="15" s="1"/>
  <c r="AT50" i="15"/>
  <c r="AS50" i="15"/>
  <c r="AR50" i="15"/>
  <c r="AQ50" i="15"/>
  <c r="AV49" i="15"/>
  <c r="AW49" i="15" s="1"/>
  <c r="AT49" i="15"/>
  <c r="AS49" i="15"/>
  <c r="AR49" i="15"/>
  <c r="AQ49" i="15"/>
  <c r="AV48" i="15"/>
  <c r="AW48" i="15" s="1"/>
  <c r="AT48" i="15"/>
  <c r="AS48" i="15"/>
  <c r="AR48" i="15"/>
  <c r="AQ48" i="15"/>
  <c r="AV47" i="15"/>
  <c r="AW47" i="15" s="1"/>
  <c r="AT47" i="15"/>
  <c r="AS47" i="15"/>
  <c r="AR47" i="15"/>
  <c r="AQ47" i="15"/>
  <c r="AV46" i="15"/>
  <c r="AW46" i="15" s="1"/>
  <c r="AT46" i="15"/>
  <c r="AS46" i="15"/>
  <c r="AR46" i="15"/>
  <c r="AQ46" i="15"/>
  <c r="AV45" i="15"/>
  <c r="AW45" i="15" s="1"/>
  <c r="AT45" i="15"/>
  <c r="AS45" i="15"/>
  <c r="AR45" i="15"/>
  <c r="AQ45" i="15"/>
  <c r="AV44" i="15"/>
  <c r="AW44" i="15" s="1"/>
  <c r="AT44" i="15"/>
  <c r="AS44" i="15"/>
  <c r="AR44" i="15"/>
  <c r="AQ44" i="15"/>
  <c r="AW43" i="15"/>
  <c r="AV43" i="15"/>
  <c r="AT43" i="15"/>
  <c r="AS43" i="15"/>
  <c r="AR43" i="15"/>
  <c r="AQ43" i="15"/>
  <c r="AV42" i="15"/>
  <c r="AW42" i="15" s="1"/>
  <c r="AT42" i="15"/>
  <c r="AS42" i="15"/>
  <c r="AR42" i="15"/>
  <c r="AQ42" i="15"/>
  <c r="AV41" i="15"/>
  <c r="AW41" i="15" s="1"/>
  <c r="AT41" i="15"/>
  <c r="AS41" i="15"/>
  <c r="AR41" i="15"/>
  <c r="AQ41" i="15"/>
  <c r="AV40" i="15"/>
  <c r="AW40" i="15" s="1"/>
  <c r="AT40" i="15"/>
  <c r="AS40" i="15"/>
  <c r="AR40" i="15"/>
  <c r="AQ40" i="15"/>
  <c r="AW39" i="15"/>
  <c r="AV39" i="15"/>
  <c r="AT39" i="15"/>
  <c r="AS39" i="15"/>
  <c r="AR39" i="15"/>
  <c r="AQ39" i="15"/>
  <c r="AV38" i="15"/>
  <c r="AW38" i="15" s="1"/>
  <c r="AT38" i="15"/>
  <c r="AS38" i="15"/>
  <c r="AR38" i="15"/>
  <c r="AQ38" i="15"/>
  <c r="AV37" i="15"/>
  <c r="AW37" i="15" s="1"/>
  <c r="AT37" i="15"/>
  <c r="AS37" i="15"/>
  <c r="AR37" i="15"/>
  <c r="AQ37" i="15"/>
  <c r="AV36" i="15"/>
  <c r="AW36" i="15" s="1"/>
  <c r="AT36" i="15"/>
  <c r="AS36" i="15"/>
  <c r="AR36" i="15"/>
  <c r="AQ36" i="15"/>
  <c r="AW35" i="15"/>
  <c r="AV35" i="15"/>
  <c r="AT35" i="15"/>
  <c r="AS35" i="15"/>
  <c r="AR35" i="15"/>
  <c r="AQ35" i="15"/>
  <c r="AV34" i="15"/>
  <c r="AW34" i="15" s="1"/>
  <c r="AT34" i="15"/>
  <c r="AS34" i="15"/>
  <c r="AR34" i="15"/>
  <c r="AQ34" i="15"/>
  <c r="AV33" i="15"/>
  <c r="AW33" i="15" s="1"/>
  <c r="AT33" i="15"/>
  <c r="AS33" i="15"/>
  <c r="AR33" i="15"/>
  <c r="AQ33" i="15"/>
  <c r="AV32" i="15"/>
  <c r="AW32" i="15" s="1"/>
  <c r="AT32" i="15"/>
  <c r="AS32" i="15"/>
  <c r="AR32" i="15"/>
  <c r="AQ32" i="15"/>
  <c r="AW31" i="15"/>
  <c r="AV31" i="15"/>
  <c r="AT31" i="15"/>
  <c r="AS31" i="15"/>
  <c r="AR31" i="15"/>
  <c r="AQ31" i="15"/>
  <c r="AV30" i="15"/>
  <c r="AW30" i="15" s="1"/>
  <c r="AT30" i="15"/>
  <c r="AS30" i="15"/>
  <c r="AR30" i="15"/>
  <c r="AQ30" i="15"/>
  <c r="AV29" i="15"/>
  <c r="AW29" i="15" s="1"/>
  <c r="AT29" i="15"/>
  <c r="AS29" i="15"/>
  <c r="AR29" i="15"/>
  <c r="AQ29" i="15"/>
  <c r="AV28" i="15"/>
  <c r="AW28" i="15" s="1"/>
  <c r="AT28" i="15"/>
  <c r="AS28" i="15"/>
  <c r="AR28" i="15"/>
  <c r="AQ28" i="15"/>
  <c r="AW27" i="15"/>
  <c r="AV27" i="15"/>
  <c r="AT27" i="15"/>
  <c r="AS27" i="15"/>
  <c r="AR27" i="15"/>
  <c r="AQ27" i="15"/>
  <c r="AV26" i="15"/>
  <c r="AW26" i="15" s="1"/>
  <c r="AT26" i="15"/>
  <c r="AS26" i="15"/>
  <c r="AR26" i="15"/>
  <c r="AQ26" i="15"/>
  <c r="AV25" i="15"/>
  <c r="AW25" i="15" s="1"/>
  <c r="AT25" i="15"/>
  <c r="AS25" i="15"/>
  <c r="AR25" i="15"/>
  <c r="AQ25" i="15"/>
  <c r="AT24" i="15"/>
  <c r="AS24" i="15"/>
  <c r="AR24" i="15"/>
  <c r="AQ24" i="15"/>
  <c r="AT23" i="15"/>
  <c r="AS23" i="15"/>
  <c r="AR23" i="15"/>
  <c r="AQ23" i="15"/>
  <c r="AT22" i="15"/>
  <c r="AS22" i="15"/>
  <c r="AR22" i="15"/>
  <c r="AQ22" i="15"/>
  <c r="AT21" i="15"/>
  <c r="AS21" i="15"/>
  <c r="AR21" i="15"/>
  <c r="AQ21" i="15"/>
  <c r="AT20" i="15"/>
  <c r="AS20" i="15"/>
  <c r="AR20" i="15"/>
  <c r="AQ20" i="15"/>
  <c r="AT19" i="15"/>
  <c r="AS19" i="15"/>
  <c r="AR19" i="15"/>
  <c r="AQ19" i="15"/>
  <c r="AT18" i="15"/>
  <c r="AS18" i="15"/>
  <c r="AR18" i="15"/>
  <c r="AQ18" i="15"/>
  <c r="AW53" i="17"/>
  <c r="AV53" i="17"/>
  <c r="AT53" i="17"/>
  <c r="AS53" i="17"/>
  <c r="AR53" i="17"/>
  <c r="AQ53" i="17"/>
  <c r="AV52" i="17"/>
  <c r="AW52" i="17" s="1"/>
  <c r="AT52" i="17"/>
  <c r="AS52" i="17"/>
  <c r="AR52" i="17"/>
  <c r="AQ52" i="17"/>
  <c r="AV51" i="17"/>
  <c r="AW51" i="17" s="1"/>
  <c r="AT51" i="17"/>
  <c r="AS51" i="17"/>
  <c r="AR51" i="17"/>
  <c r="AQ51" i="17"/>
  <c r="AV50" i="17"/>
  <c r="AW50" i="17" s="1"/>
  <c r="AT50" i="17"/>
  <c r="AS50" i="17"/>
  <c r="AR50" i="17"/>
  <c r="AQ50" i="17"/>
  <c r="AW49" i="17"/>
  <c r="AV49" i="17"/>
  <c r="AT49" i="17"/>
  <c r="AS49" i="17"/>
  <c r="AR49" i="17"/>
  <c r="AQ49" i="17"/>
  <c r="AV48" i="17"/>
  <c r="AW48" i="17" s="1"/>
  <c r="AT48" i="17"/>
  <c r="AS48" i="17"/>
  <c r="AR48" i="17"/>
  <c r="AQ48" i="17"/>
  <c r="AV47" i="17"/>
  <c r="AW47" i="17" s="1"/>
  <c r="AT47" i="17"/>
  <c r="AS47" i="17"/>
  <c r="AR47" i="17"/>
  <c r="AQ47" i="17"/>
  <c r="AV46" i="17"/>
  <c r="AW46" i="17" s="1"/>
  <c r="AT46" i="17"/>
  <c r="AS46" i="17"/>
  <c r="AR46" i="17"/>
  <c r="AQ46" i="17"/>
  <c r="AW45" i="17"/>
  <c r="AV45" i="17"/>
  <c r="AT45" i="17"/>
  <c r="AS45" i="17"/>
  <c r="AR45" i="17"/>
  <c r="AQ45" i="17"/>
  <c r="AV44" i="17"/>
  <c r="AW44" i="17" s="1"/>
  <c r="AT44" i="17"/>
  <c r="AS44" i="17"/>
  <c r="AR44" i="17"/>
  <c r="AQ44" i="17"/>
  <c r="AV43" i="17"/>
  <c r="AW43" i="17" s="1"/>
  <c r="AT43" i="17"/>
  <c r="AS43" i="17"/>
  <c r="AR43" i="17"/>
  <c r="AQ43" i="17"/>
  <c r="AV42" i="17"/>
  <c r="AW42" i="17" s="1"/>
  <c r="AT42" i="17"/>
  <c r="AS42" i="17"/>
  <c r="AR42" i="17"/>
  <c r="AQ42" i="17"/>
  <c r="AW41" i="17"/>
  <c r="AV41" i="17"/>
  <c r="AT41" i="17"/>
  <c r="AS41" i="17"/>
  <c r="AR41" i="17"/>
  <c r="AQ41" i="17"/>
  <c r="AV40" i="17"/>
  <c r="AW40" i="17" s="1"/>
  <c r="AT40" i="17"/>
  <c r="AS40" i="17"/>
  <c r="AR40" i="17"/>
  <c r="AQ40" i="17"/>
  <c r="AV39" i="17"/>
  <c r="AW39" i="17" s="1"/>
  <c r="AT39" i="17"/>
  <c r="AS39" i="17"/>
  <c r="AR39" i="17"/>
  <c r="AQ39" i="17"/>
  <c r="AV38" i="17"/>
  <c r="AW38" i="17" s="1"/>
  <c r="AT38" i="17"/>
  <c r="AS38" i="17"/>
  <c r="AR38" i="17"/>
  <c r="AQ38" i="17"/>
  <c r="AW37" i="17"/>
  <c r="AV37" i="17"/>
  <c r="AT37" i="17"/>
  <c r="AS37" i="17"/>
  <c r="AR37" i="17"/>
  <c r="AQ37" i="17"/>
  <c r="AV36" i="17"/>
  <c r="AW36" i="17" s="1"/>
  <c r="AT36" i="17"/>
  <c r="AS36" i="17"/>
  <c r="AR36" i="17"/>
  <c r="AQ36" i="17"/>
  <c r="AV35" i="17"/>
  <c r="AW35" i="17" s="1"/>
  <c r="AT35" i="17"/>
  <c r="AS35" i="17"/>
  <c r="AR35" i="17"/>
  <c r="AQ35" i="17"/>
  <c r="AV34" i="17"/>
  <c r="AW34" i="17" s="1"/>
  <c r="AT34" i="17"/>
  <c r="AS34" i="17"/>
  <c r="AR34" i="17"/>
  <c r="AQ34" i="17"/>
  <c r="AW33" i="17"/>
  <c r="AV33" i="17"/>
  <c r="AT33" i="17"/>
  <c r="AS33" i="17"/>
  <c r="AR33" i="17"/>
  <c r="AQ33" i="17"/>
  <c r="AV32" i="17"/>
  <c r="AW32" i="17" s="1"/>
  <c r="AT32" i="17"/>
  <c r="AS32" i="17"/>
  <c r="AR32" i="17"/>
  <c r="AQ32" i="17"/>
  <c r="AV31" i="17"/>
  <c r="AW31" i="17" s="1"/>
  <c r="AT31" i="17"/>
  <c r="AS31" i="17"/>
  <c r="AR31" i="17"/>
  <c r="AQ31" i="17"/>
  <c r="AV30" i="17"/>
  <c r="AW30" i="17" s="1"/>
  <c r="AT30" i="17"/>
  <c r="AS30" i="17"/>
  <c r="AR30" i="17"/>
  <c r="AQ30" i="17"/>
  <c r="AW29" i="17"/>
  <c r="AV29" i="17"/>
  <c r="AT29" i="17"/>
  <c r="AS29" i="17"/>
  <c r="AR29" i="17"/>
  <c r="AQ29" i="17"/>
  <c r="AV28" i="17"/>
  <c r="AW28" i="17" s="1"/>
  <c r="AT28" i="17"/>
  <c r="AS28" i="17"/>
  <c r="AR28" i="17"/>
  <c r="AQ28" i="17"/>
  <c r="AV27" i="17"/>
  <c r="AW27" i="17" s="1"/>
  <c r="AT27" i="17"/>
  <c r="AS27" i="17"/>
  <c r="AR27" i="17"/>
  <c r="AQ27" i="17"/>
  <c r="AV26" i="17"/>
  <c r="AW26" i="17" s="1"/>
  <c r="AT26" i="17"/>
  <c r="AS26" i="17"/>
  <c r="AR26" i="17"/>
  <c r="AQ26" i="17"/>
  <c r="AW25" i="17"/>
  <c r="AV25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V53" i="16"/>
  <c r="AW53" i="16" s="1"/>
  <c r="AT53" i="16"/>
  <c r="AS53" i="16"/>
  <c r="AR53" i="16"/>
  <c r="AV52" i="16"/>
  <c r="AW52" i="16" s="1"/>
  <c r="AT52" i="16"/>
  <c r="AS52" i="16"/>
  <c r="AR52" i="16"/>
  <c r="AV51" i="16"/>
  <c r="AW51" i="16" s="1"/>
  <c r="AT51" i="16"/>
  <c r="AS51" i="16"/>
  <c r="AR51" i="16"/>
  <c r="AV50" i="16"/>
  <c r="AW50" i="16" s="1"/>
  <c r="AT50" i="16"/>
  <c r="AS50" i="16"/>
  <c r="AR50" i="16"/>
  <c r="AW49" i="16"/>
  <c r="AV49" i="16"/>
  <c r="AT49" i="16"/>
  <c r="AS49" i="16"/>
  <c r="AR49" i="16"/>
  <c r="AV48" i="16"/>
  <c r="AW48" i="16" s="1"/>
  <c r="AT48" i="16"/>
  <c r="AS48" i="16"/>
  <c r="AR48" i="16"/>
  <c r="AW47" i="16"/>
  <c r="AV47" i="16"/>
  <c r="AT47" i="16"/>
  <c r="AS47" i="16"/>
  <c r="AR47" i="16"/>
  <c r="AV46" i="16"/>
  <c r="AW46" i="16" s="1"/>
  <c r="AT46" i="16"/>
  <c r="AS46" i="16"/>
  <c r="AR46" i="16"/>
  <c r="AV45" i="16"/>
  <c r="AW45" i="16" s="1"/>
  <c r="AT45" i="16"/>
  <c r="AS45" i="16"/>
  <c r="AR45" i="16"/>
  <c r="AV44" i="16"/>
  <c r="AW44" i="16" s="1"/>
  <c r="AT44" i="16"/>
  <c r="AS44" i="16"/>
  <c r="AR44" i="16"/>
  <c r="AV43" i="16"/>
  <c r="AW43" i="16" s="1"/>
  <c r="AT43" i="16"/>
  <c r="AS43" i="16"/>
  <c r="AR43" i="16"/>
  <c r="AV42" i="16"/>
  <c r="AW42" i="16" s="1"/>
  <c r="AT42" i="16"/>
  <c r="AS42" i="16"/>
  <c r="AR42" i="16"/>
  <c r="AW41" i="16"/>
  <c r="AV41" i="16"/>
  <c r="AT41" i="16"/>
  <c r="AS41" i="16"/>
  <c r="AR41" i="16"/>
  <c r="AV40" i="16"/>
  <c r="AW40" i="16" s="1"/>
  <c r="AT40" i="16"/>
  <c r="AS40" i="16"/>
  <c r="AR40" i="16"/>
  <c r="AW39" i="16"/>
  <c r="AV39" i="16"/>
  <c r="AT39" i="16"/>
  <c r="AS39" i="16"/>
  <c r="AR39" i="16"/>
  <c r="AV38" i="16"/>
  <c r="AW38" i="16" s="1"/>
  <c r="AT38" i="16"/>
  <c r="AS38" i="16"/>
  <c r="AR38" i="16"/>
  <c r="AV37" i="16"/>
  <c r="AW37" i="16" s="1"/>
  <c r="AT37" i="16"/>
  <c r="AS37" i="16"/>
  <c r="AR37" i="16"/>
  <c r="AV36" i="16"/>
  <c r="AW36" i="16" s="1"/>
  <c r="AT36" i="16"/>
  <c r="AS36" i="16"/>
  <c r="AR36" i="16"/>
  <c r="AV35" i="16"/>
  <c r="AW35" i="16" s="1"/>
  <c r="AT35" i="16"/>
  <c r="AS35" i="16"/>
  <c r="AR35" i="16"/>
  <c r="AV34" i="16"/>
  <c r="AW34" i="16" s="1"/>
  <c r="AT34" i="16"/>
  <c r="AS34" i="16"/>
  <c r="AR34" i="16"/>
  <c r="AW33" i="16"/>
  <c r="AV33" i="16"/>
  <c r="AT33" i="16"/>
  <c r="AS33" i="16"/>
  <c r="AR33" i="16"/>
  <c r="AV32" i="16"/>
  <c r="AW32" i="16" s="1"/>
  <c r="AT32" i="16"/>
  <c r="AS32" i="16"/>
  <c r="AR32" i="16"/>
  <c r="AW31" i="16"/>
  <c r="AV31" i="16"/>
  <c r="AT31" i="16"/>
  <c r="AS31" i="16"/>
  <c r="AR31" i="16"/>
  <c r="AV30" i="16"/>
  <c r="AW30" i="16" s="1"/>
  <c r="AT30" i="16"/>
  <c r="AS30" i="16"/>
  <c r="AR30" i="16"/>
  <c r="AV29" i="16"/>
  <c r="AW29" i="16" s="1"/>
  <c r="AT29" i="16"/>
  <c r="AS29" i="16"/>
  <c r="AR29" i="16"/>
  <c r="AV28" i="16"/>
  <c r="AW28" i="16" s="1"/>
  <c r="AT28" i="16"/>
  <c r="AS28" i="16"/>
  <c r="AR28" i="16"/>
  <c r="AV27" i="16"/>
  <c r="AW27" i="16" s="1"/>
  <c r="AT27" i="16"/>
  <c r="AS27" i="16"/>
  <c r="AR27" i="16"/>
  <c r="AV26" i="16"/>
  <c r="AW26" i="16" s="1"/>
  <c r="AT26" i="16"/>
  <c r="AS26" i="16"/>
  <c r="AR26" i="16"/>
  <c r="AW25" i="16"/>
  <c r="AV25" i="16"/>
  <c r="AT25" i="16"/>
  <c r="AS25" i="16"/>
  <c r="AR25" i="16"/>
  <c r="AT24" i="16"/>
  <c r="AS24" i="16"/>
  <c r="AR24" i="16"/>
  <c r="AT23" i="16"/>
  <c r="AS23" i="16"/>
  <c r="AR23" i="16"/>
  <c r="AT22" i="16"/>
  <c r="AS22" i="16"/>
  <c r="AR22" i="16"/>
  <c r="AT21" i="16"/>
  <c r="AS21" i="16"/>
  <c r="AR21" i="16"/>
  <c r="AT20" i="16"/>
  <c r="AS20" i="16"/>
  <c r="AR20" i="16"/>
  <c r="AT19" i="16"/>
  <c r="AS19" i="16"/>
  <c r="AR19" i="16"/>
  <c r="AT18" i="16"/>
  <c r="AS18" i="16"/>
  <c r="AR18" i="16"/>
  <c r="AQ53" i="16"/>
  <c r="AQ52" i="16"/>
  <c r="AQ51" i="16"/>
  <c r="AQ50" i="16"/>
  <c r="AQ49" i="16"/>
  <c r="AQ48" i="16"/>
  <c r="AQ47" i="16"/>
  <c r="AQ46" i="16"/>
  <c r="AQ45" i="16"/>
  <c r="AQ44" i="16"/>
  <c r="AQ43" i="16"/>
  <c r="AQ42" i="16"/>
  <c r="AQ41" i="16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1" i="16"/>
  <c r="AQ20" i="16"/>
  <c r="AQ19" i="16"/>
  <c r="AQ18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W54" i="13" l="1"/>
  <c r="AU54" i="13" s="1"/>
  <c r="AW54" i="8"/>
  <c r="AU54" i="8" s="1"/>
  <c r="AW54" i="14"/>
  <c r="AU54" i="14" s="1"/>
  <c r="AW54" i="15"/>
  <c r="AU54" i="15" s="1"/>
  <c r="AW54" i="17"/>
  <c r="AU54" i="17" s="1"/>
  <c r="AW54" i="16"/>
  <c r="AU54" i="16" s="1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R13" i="37"/>
  <c r="P13" i="37"/>
  <c r="P14" i="37" s="1"/>
  <c r="O13" i="37"/>
  <c r="O14" i="37" s="1"/>
  <c r="N13" i="37"/>
  <c r="N14" i="37" s="1"/>
  <c r="M13" i="37"/>
  <c r="M14" i="37" s="1"/>
  <c r="L13" i="37"/>
  <c r="L14" i="37" s="1"/>
  <c r="K13" i="37"/>
  <c r="B13" i="37"/>
  <c r="B12" i="37"/>
  <c r="B11" i="37"/>
  <c r="B10" i="37"/>
  <c r="B9" i="37"/>
  <c r="B8" i="37"/>
  <c r="B7" i="37"/>
  <c r="B6" i="37"/>
  <c r="AA2" i="37"/>
  <c r="I2" i="37"/>
  <c r="R14" i="37"/>
  <c r="S13" i="37"/>
  <c r="S14" i="37" s="1"/>
  <c r="K14" i="37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R13" i="36"/>
  <c r="R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B13" i="36"/>
  <c r="B12" i="36"/>
  <c r="B11" i="36"/>
  <c r="B10" i="36"/>
  <c r="B9" i="36"/>
  <c r="B8" i="36"/>
  <c r="B7" i="36"/>
  <c r="B6" i="36"/>
  <c r="AA2" i="36"/>
  <c r="I2" i="36"/>
  <c r="S13" i="36"/>
  <c r="S14" i="36" s="1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R13" i="35"/>
  <c r="R14" i="35" s="1"/>
  <c r="P13" i="35"/>
  <c r="O13" i="35"/>
  <c r="O14" i="35" s="1"/>
  <c r="N13" i="35"/>
  <c r="N14" i="35" s="1"/>
  <c r="M13" i="35"/>
  <c r="M14" i="35" s="1"/>
  <c r="L13" i="35"/>
  <c r="L14" i="35" s="1"/>
  <c r="K13" i="35"/>
  <c r="K14" i="35" s="1"/>
  <c r="B13" i="35"/>
  <c r="B12" i="35"/>
  <c r="B11" i="35"/>
  <c r="B10" i="35"/>
  <c r="B9" i="35"/>
  <c r="B8" i="35"/>
  <c r="B7" i="35"/>
  <c r="B6" i="35"/>
  <c r="AA2" i="35"/>
  <c r="I2" i="35"/>
  <c r="S13" i="35"/>
  <c r="S14" i="35" s="1"/>
  <c r="P14" i="35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R13" i="34"/>
  <c r="R14" i="34" s="1"/>
  <c r="P13" i="34"/>
  <c r="P14" i="34" s="1"/>
  <c r="O13" i="34"/>
  <c r="O14" i="34" s="1"/>
  <c r="N13" i="34"/>
  <c r="N14" i="34" s="1"/>
  <c r="M13" i="34"/>
  <c r="M14" i="34" s="1"/>
  <c r="L13" i="34"/>
  <c r="L14" i="34" s="1"/>
  <c r="K13" i="34"/>
  <c r="K14" i="34" s="1"/>
  <c r="B13" i="34"/>
  <c r="B12" i="34"/>
  <c r="B11" i="34"/>
  <c r="B10" i="34"/>
  <c r="B9" i="34"/>
  <c r="B8" i="34"/>
  <c r="B7" i="34"/>
  <c r="B6" i="34"/>
  <c r="AA2" i="34"/>
  <c r="I2" i="34"/>
  <c r="S13" i="34"/>
  <c r="S14" i="34" s="1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R13" i="33"/>
  <c r="P13" i="33"/>
  <c r="O13" i="33"/>
  <c r="O14" i="33" s="1"/>
  <c r="N13" i="33"/>
  <c r="N14" i="33" s="1"/>
  <c r="M13" i="33"/>
  <c r="M14" i="33" s="1"/>
  <c r="L13" i="33"/>
  <c r="L14" i="33" s="1"/>
  <c r="K13" i="33"/>
  <c r="K14" i="33" s="1"/>
  <c r="B13" i="33"/>
  <c r="B12" i="33"/>
  <c r="B11" i="33"/>
  <c r="B10" i="33"/>
  <c r="B9" i="33"/>
  <c r="B8" i="33"/>
  <c r="B7" i="33"/>
  <c r="B6" i="33"/>
  <c r="AA2" i="33"/>
  <c r="I2" i="33"/>
  <c r="R14" i="33"/>
  <c r="S13" i="33"/>
  <c r="S14" i="33" s="1"/>
  <c r="P14" i="33"/>
  <c r="S13" i="31"/>
  <c r="S14" i="31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R13" i="31"/>
  <c r="R14" i="31" s="1"/>
  <c r="P13" i="31"/>
  <c r="P14" i="31" s="1"/>
  <c r="O13" i="31"/>
  <c r="O14" i="31" s="1"/>
  <c r="N13" i="31"/>
  <c r="N14" i="31" s="1"/>
  <c r="M13" i="31"/>
  <c r="M14" i="31" s="1"/>
  <c r="L13" i="31"/>
  <c r="L14" i="31" s="1"/>
  <c r="K13" i="31"/>
  <c r="K14" i="31" s="1"/>
  <c r="B13" i="31"/>
  <c r="B12" i="31"/>
  <c r="B11" i="31"/>
  <c r="B10" i="31"/>
  <c r="B9" i="31"/>
  <c r="B8" i="31"/>
  <c r="B7" i="31"/>
  <c r="B6" i="31"/>
  <c r="AA2" i="31"/>
  <c r="I2" i="31"/>
  <c r="N18" i="15"/>
  <c r="U14" i="37" l="1"/>
  <c r="T14" i="37"/>
  <c r="U14" i="36"/>
  <c r="T14" i="36"/>
  <c r="U14" i="35"/>
  <c r="T14" i="35"/>
  <c r="U14" i="34"/>
  <c r="T14" i="34"/>
  <c r="U14" i="33"/>
  <c r="T14" i="33"/>
  <c r="T14" i="31"/>
  <c r="U14" i="31"/>
  <c r="Q14" i="37" l="1"/>
  <c r="Q14" i="36"/>
  <c r="Q14" i="35"/>
  <c r="Q14" i="34"/>
  <c r="Q14" i="33"/>
  <c r="Q14" i="31"/>
  <c r="AS58" i="13" l="1"/>
  <c r="AS57" i="13"/>
  <c r="AT56" i="13"/>
  <c r="AS56" i="13"/>
  <c r="Z16" i="19" s="1"/>
  <c r="AR56" i="13"/>
  <c r="X16" i="19" s="1"/>
  <c r="AT55" i="13"/>
  <c r="AA16" i="19" s="1"/>
  <c r="AS55" i="13"/>
  <c r="AR55" i="13"/>
  <c r="W16" i="19" s="1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57" i="8"/>
  <c r="AT59" i="8"/>
  <c r="AT59" i="13"/>
  <c r="Y16" i="19"/>
  <c r="AB16" i="19"/>
  <c r="AS59" i="13"/>
  <c r="AR57" i="13"/>
  <c r="AL53" i="8"/>
  <c r="AL49" i="8"/>
  <c r="AM49" i="8" s="1"/>
  <c r="AL48" i="8"/>
  <c r="AM48" i="8" s="1"/>
  <c r="AL47" i="8"/>
  <c r="AM47" i="8" s="1"/>
  <c r="AL41" i="8"/>
  <c r="AM41" i="8" s="1"/>
  <c r="AL40" i="8"/>
  <c r="AM40" i="8" s="1"/>
  <c r="AL39" i="8"/>
  <c r="AM39" i="8" s="1"/>
  <c r="AL38" i="8"/>
  <c r="AM38" i="8" s="1"/>
  <c r="AL37" i="8"/>
  <c r="AM37" i="8" s="1"/>
  <c r="AL34" i="8"/>
  <c r="AL33" i="8"/>
  <c r="AM33" i="8" s="1"/>
  <c r="AL32" i="8"/>
  <c r="AM32" i="8" s="1"/>
  <c r="AL31" i="8"/>
  <c r="AM31" i="8" s="1"/>
  <c r="AL30" i="8"/>
  <c r="AM30" i="8" s="1"/>
  <c r="AL29" i="8"/>
  <c r="AM29" i="8" s="1"/>
  <c r="AL25" i="8"/>
  <c r="AM25" i="8" s="1"/>
  <c r="AL24" i="8"/>
  <c r="AL23" i="8"/>
  <c r="AM23" i="8" s="1"/>
  <c r="AL22" i="8"/>
  <c r="AM22" i="8" s="1"/>
  <c r="AL21" i="8"/>
  <c r="AM21" i="8" s="1"/>
  <c r="AL19" i="14"/>
  <c r="AM19" i="14" s="1"/>
  <c r="AL21" i="14"/>
  <c r="AL23" i="14"/>
  <c r="AM23" i="14" s="1"/>
  <c r="AL24" i="14"/>
  <c r="AM24" i="14" s="1"/>
  <c r="AL27" i="14"/>
  <c r="AM27" i="14" s="1"/>
  <c r="AL30" i="14"/>
  <c r="AL31" i="14"/>
  <c r="AM31" i="14" s="1"/>
  <c r="AL32" i="14"/>
  <c r="AM32" i="14" s="1"/>
  <c r="AL38" i="14"/>
  <c r="AL39" i="14"/>
  <c r="AM39" i="14" s="1"/>
  <c r="AL40" i="14"/>
  <c r="AM40" i="14" s="1"/>
  <c r="AL41" i="14"/>
  <c r="AM41" i="14" s="1"/>
  <c r="AL42" i="14"/>
  <c r="AL43" i="14"/>
  <c r="AM43" i="14" s="1"/>
  <c r="AL44" i="14"/>
  <c r="AL46" i="14"/>
  <c r="AL47" i="14"/>
  <c r="AM47" i="14" s="1"/>
  <c r="AL48" i="14"/>
  <c r="AM48" i="14" s="1"/>
  <c r="AL49" i="14"/>
  <c r="AM49" i="14" s="1"/>
  <c r="AL51" i="14"/>
  <c r="AM51" i="14" s="1"/>
  <c r="AL25" i="14"/>
  <c r="AM25" i="14" s="1"/>
  <c r="P53" i="16"/>
  <c r="O53" i="16"/>
  <c r="N53" i="16"/>
  <c r="M53" i="16"/>
  <c r="P52" i="16"/>
  <c r="O52" i="16"/>
  <c r="N52" i="16"/>
  <c r="M52" i="16"/>
  <c r="P51" i="16"/>
  <c r="O51" i="16"/>
  <c r="N51" i="16"/>
  <c r="M51" i="16"/>
  <c r="P50" i="16"/>
  <c r="O50" i="16"/>
  <c r="N50" i="16"/>
  <c r="M50" i="16"/>
  <c r="P49" i="16"/>
  <c r="O49" i="16"/>
  <c r="N49" i="16"/>
  <c r="M49" i="16"/>
  <c r="P48" i="16"/>
  <c r="O48" i="16"/>
  <c r="N48" i="16"/>
  <c r="M48" i="16"/>
  <c r="P47" i="16"/>
  <c r="O47" i="16"/>
  <c r="N47" i="16"/>
  <c r="M47" i="16"/>
  <c r="P46" i="16"/>
  <c r="O46" i="16"/>
  <c r="N46" i="16"/>
  <c r="M46" i="16"/>
  <c r="P45" i="16"/>
  <c r="O45" i="16"/>
  <c r="N45" i="16"/>
  <c r="M45" i="16"/>
  <c r="P44" i="16"/>
  <c r="O44" i="16"/>
  <c r="N44" i="16"/>
  <c r="M44" i="16"/>
  <c r="P43" i="16"/>
  <c r="O43" i="16"/>
  <c r="N43" i="16"/>
  <c r="M43" i="16"/>
  <c r="P42" i="16"/>
  <c r="O42" i="16"/>
  <c r="N42" i="16"/>
  <c r="M42" i="16"/>
  <c r="P41" i="16"/>
  <c r="O41" i="16"/>
  <c r="N41" i="16"/>
  <c r="M41" i="16"/>
  <c r="P40" i="16"/>
  <c r="O40" i="16"/>
  <c r="N40" i="16"/>
  <c r="M40" i="16"/>
  <c r="P39" i="16"/>
  <c r="O39" i="16"/>
  <c r="N39" i="16"/>
  <c r="M39" i="16"/>
  <c r="P38" i="16"/>
  <c r="O38" i="16"/>
  <c r="N38" i="16"/>
  <c r="M38" i="16"/>
  <c r="P37" i="16"/>
  <c r="O37" i="16"/>
  <c r="N37" i="16"/>
  <c r="M37" i="16"/>
  <c r="P36" i="16"/>
  <c r="O36" i="16"/>
  <c r="N36" i="16"/>
  <c r="M36" i="16"/>
  <c r="P35" i="16"/>
  <c r="O35" i="16"/>
  <c r="N35" i="16"/>
  <c r="M35" i="16"/>
  <c r="P34" i="16"/>
  <c r="O34" i="16"/>
  <c r="N34" i="16"/>
  <c r="M34" i="16"/>
  <c r="P33" i="16"/>
  <c r="O33" i="16"/>
  <c r="N33" i="16"/>
  <c r="M33" i="16"/>
  <c r="P32" i="16"/>
  <c r="O32" i="16"/>
  <c r="N32" i="16"/>
  <c r="M32" i="16"/>
  <c r="P31" i="16"/>
  <c r="O31" i="16"/>
  <c r="N31" i="16"/>
  <c r="M31" i="16"/>
  <c r="P30" i="16"/>
  <c r="O30" i="16"/>
  <c r="N30" i="16"/>
  <c r="M30" i="16"/>
  <c r="P29" i="16"/>
  <c r="O29" i="16"/>
  <c r="N29" i="16"/>
  <c r="M29" i="16"/>
  <c r="P28" i="16"/>
  <c r="O28" i="16"/>
  <c r="N28" i="16"/>
  <c r="M28" i="16"/>
  <c r="P27" i="16"/>
  <c r="O27" i="16"/>
  <c r="N27" i="16"/>
  <c r="M27" i="16"/>
  <c r="P26" i="16"/>
  <c r="O26" i="16"/>
  <c r="N26" i="16"/>
  <c r="M26" i="16"/>
  <c r="P25" i="16"/>
  <c r="O25" i="16"/>
  <c r="N25" i="16"/>
  <c r="M25" i="16"/>
  <c r="P24" i="16"/>
  <c r="O24" i="16"/>
  <c r="N24" i="16"/>
  <c r="M24" i="16"/>
  <c r="P23" i="16"/>
  <c r="O23" i="16"/>
  <c r="N23" i="16"/>
  <c r="M23" i="16"/>
  <c r="P22" i="16"/>
  <c r="O22" i="16"/>
  <c r="N22" i="16"/>
  <c r="M22" i="16"/>
  <c r="P21" i="16"/>
  <c r="O21" i="16"/>
  <c r="N21" i="16"/>
  <c r="M21" i="16"/>
  <c r="P20" i="16"/>
  <c r="O20" i="16"/>
  <c r="N20" i="16"/>
  <c r="M20" i="16"/>
  <c r="P19" i="16"/>
  <c r="O19" i="16"/>
  <c r="N19" i="16"/>
  <c r="M19" i="16"/>
  <c r="P18" i="16"/>
  <c r="O18" i="16"/>
  <c r="N18" i="16"/>
  <c r="M18" i="16"/>
  <c r="P53" i="17"/>
  <c r="O53" i="17"/>
  <c r="N53" i="17"/>
  <c r="M53" i="17"/>
  <c r="P52" i="17"/>
  <c r="O52" i="17"/>
  <c r="N52" i="17"/>
  <c r="Q52" i="17" s="1"/>
  <c r="M52" i="17"/>
  <c r="P51" i="17"/>
  <c r="O51" i="17"/>
  <c r="N51" i="17"/>
  <c r="M51" i="17"/>
  <c r="P50" i="17"/>
  <c r="O50" i="17"/>
  <c r="N50" i="17"/>
  <c r="M50" i="17"/>
  <c r="P49" i="17"/>
  <c r="O49" i="17"/>
  <c r="N49" i="17"/>
  <c r="M49" i="17"/>
  <c r="P48" i="17"/>
  <c r="O48" i="17"/>
  <c r="N48" i="17"/>
  <c r="M48" i="17"/>
  <c r="P47" i="17"/>
  <c r="O47" i="17"/>
  <c r="N47" i="17"/>
  <c r="M47" i="17"/>
  <c r="P46" i="17"/>
  <c r="O46" i="17"/>
  <c r="N46" i="17"/>
  <c r="M46" i="17"/>
  <c r="P45" i="17"/>
  <c r="O45" i="17"/>
  <c r="N45" i="17"/>
  <c r="M45" i="17"/>
  <c r="P44" i="17"/>
  <c r="O44" i="17"/>
  <c r="N44" i="17"/>
  <c r="M44" i="17"/>
  <c r="P43" i="17"/>
  <c r="O43" i="17"/>
  <c r="N43" i="17"/>
  <c r="M43" i="17"/>
  <c r="P42" i="17"/>
  <c r="O42" i="17"/>
  <c r="N42" i="17"/>
  <c r="M42" i="17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P37" i="17"/>
  <c r="O37" i="17"/>
  <c r="N37" i="17"/>
  <c r="M37" i="17"/>
  <c r="P36" i="17"/>
  <c r="O36" i="17"/>
  <c r="N36" i="17"/>
  <c r="M36" i="17"/>
  <c r="P35" i="17"/>
  <c r="O35" i="17"/>
  <c r="N35" i="17"/>
  <c r="M35" i="17"/>
  <c r="P34" i="17"/>
  <c r="O34" i="17"/>
  <c r="N34" i="17"/>
  <c r="M34" i="17"/>
  <c r="P33" i="17"/>
  <c r="O33" i="17"/>
  <c r="N33" i="17"/>
  <c r="M33" i="17"/>
  <c r="P32" i="17"/>
  <c r="O32" i="17"/>
  <c r="N32" i="17"/>
  <c r="M32" i="17"/>
  <c r="P31" i="17"/>
  <c r="O31" i="17"/>
  <c r="N31" i="17"/>
  <c r="M31" i="17"/>
  <c r="P30" i="17"/>
  <c r="O30" i="17"/>
  <c r="N30" i="17"/>
  <c r="M30" i="17"/>
  <c r="P29" i="17"/>
  <c r="O29" i="17"/>
  <c r="N29" i="17"/>
  <c r="M29" i="17"/>
  <c r="P28" i="17"/>
  <c r="O28" i="17"/>
  <c r="N28" i="17"/>
  <c r="M28" i="17"/>
  <c r="P27" i="17"/>
  <c r="O27" i="17"/>
  <c r="N27" i="17"/>
  <c r="M27" i="17"/>
  <c r="P26" i="17"/>
  <c r="O26" i="17"/>
  <c r="N26" i="17"/>
  <c r="M26" i="17"/>
  <c r="P25" i="17"/>
  <c r="O25" i="17"/>
  <c r="N25" i="17"/>
  <c r="M25" i="17"/>
  <c r="P24" i="17"/>
  <c r="O24" i="17"/>
  <c r="N24" i="17"/>
  <c r="M24" i="17"/>
  <c r="P23" i="17"/>
  <c r="O23" i="17"/>
  <c r="N23" i="17"/>
  <c r="M23" i="17"/>
  <c r="P22" i="17"/>
  <c r="O22" i="17"/>
  <c r="N22" i="17"/>
  <c r="M22" i="17"/>
  <c r="P21" i="17"/>
  <c r="O21" i="17"/>
  <c r="N21" i="17"/>
  <c r="M21" i="17"/>
  <c r="P20" i="17"/>
  <c r="O20" i="17"/>
  <c r="N20" i="17"/>
  <c r="M20" i="17"/>
  <c r="P19" i="17"/>
  <c r="O19" i="17"/>
  <c r="N19" i="17"/>
  <c r="M19" i="17"/>
  <c r="P18" i="17"/>
  <c r="O18" i="17"/>
  <c r="N18" i="17"/>
  <c r="M18" i="17"/>
  <c r="P53" i="15"/>
  <c r="O53" i="15"/>
  <c r="N53" i="15"/>
  <c r="M53" i="15"/>
  <c r="P52" i="15"/>
  <c r="O52" i="15"/>
  <c r="N52" i="15"/>
  <c r="M52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Q45" i="15" s="1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Q39" i="15" s="1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9" i="15"/>
  <c r="O19" i="15"/>
  <c r="N19" i="15"/>
  <c r="M19" i="15"/>
  <c r="P18" i="15"/>
  <c r="O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X55" i="8"/>
  <c r="AU55" i="8"/>
  <c r="AX55" i="14"/>
  <c r="AU55" i="14"/>
  <c r="AX55" i="15"/>
  <c r="AU55" i="15"/>
  <c r="AX55" i="17"/>
  <c r="AU55" i="17"/>
  <c r="AP55" i="13"/>
  <c r="AY53" i="13"/>
  <c r="AZ53" i="13" s="1"/>
  <c r="AY52" i="13"/>
  <c r="AZ52" i="13" s="1"/>
  <c r="AY51" i="13"/>
  <c r="AZ51" i="13" s="1"/>
  <c r="AY50" i="13"/>
  <c r="AZ50" i="13" s="1"/>
  <c r="AY49" i="13"/>
  <c r="AZ49" i="13" s="1"/>
  <c r="AY48" i="13"/>
  <c r="AZ48" i="13" s="1"/>
  <c r="AY47" i="13"/>
  <c r="AZ47" i="13" s="1"/>
  <c r="AY46" i="13"/>
  <c r="AZ46" i="13" s="1"/>
  <c r="AY45" i="13"/>
  <c r="AZ45" i="13" s="1"/>
  <c r="AY44" i="13"/>
  <c r="AZ44" i="13" s="1"/>
  <c r="AY43" i="13"/>
  <c r="AZ43" i="13" s="1"/>
  <c r="AY42" i="13"/>
  <c r="AZ42" i="13" s="1"/>
  <c r="AY41" i="13"/>
  <c r="AZ41" i="13" s="1"/>
  <c r="AY40" i="13"/>
  <c r="AZ40" i="13" s="1"/>
  <c r="AY39" i="13"/>
  <c r="AZ39" i="13" s="1"/>
  <c r="AY38" i="13"/>
  <c r="AZ38" i="13" s="1"/>
  <c r="AY37" i="13"/>
  <c r="AZ37" i="13" s="1"/>
  <c r="AY36" i="13"/>
  <c r="AZ36" i="13" s="1"/>
  <c r="AY35" i="13"/>
  <c r="AZ35" i="13" s="1"/>
  <c r="AY34" i="13"/>
  <c r="AZ34" i="13" s="1"/>
  <c r="AY33" i="13"/>
  <c r="AZ33" i="13" s="1"/>
  <c r="AY32" i="13"/>
  <c r="AZ32" i="13" s="1"/>
  <c r="AY31" i="13"/>
  <c r="AZ31" i="13" s="1"/>
  <c r="AY30" i="13"/>
  <c r="AZ30" i="13" s="1"/>
  <c r="AY29" i="13"/>
  <c r="AZ29" i="13" s="1"/>
  <c r="AY28" i="13"/>
  <c r="AZ28" i="13" s="1"/>
  <c r="AY27" i="13"/>
  <c r="AZ27" i="13" s="1"/>
  <c r="AY26" i="13"/>
  <c r="AZ26" i="13" s="1"/>
  <c r="AY25" i="13"/>
  <c r="AZ25" i="13" s="1"/>
  <c r="AY24" i="13"/>
  <c r="AZ24" i="13" s="1"/>
  <c r="AY23" i="13"/>
  <c r="AZ23" i="13" s="1"/>
  <c r="AY22" i="13"/>
  <c r="AZ22" i="13" s="1"/>
  <c r="AY21" i="13"/>
  <c r="AZ21" i="13" s="1"/>
  <c r="AY20" i="13"/>
  <c r="AZ20" i="13" s="1"/>
  <c r="AY19" i="13"/>
  <c r="AZ19" i="13" s="1"/>
  <c r="AY18" i="13"/>
  <c r="AZ18" i="13" s="1"/>
  <c r="AP55" i="8"/>
  <c r="AY53" i="8"/>
  <c r="AZ53" i="8" s="1"/>
  <c r="AY52" i="8"/>
  <c r="AZ52" i="8" s="1"/>
  <c r="AY51" i="8"/>
  <c r="AZ51" i="8" s="1"/>
  <c r="AY50" i="8"/>
  <c r="AZ50" i="8" s="1"/>
  <c r="AY49" i="8"/>
  <c r="AZ49" i="8" s="1"/>
  <c r="AY48" i="8"/>
  <c r="AZ48" i="8" s="1"/>
  <c r="AY47" i="8"/>
  <c r="AZ47" i="8" s="1"/>
  <c r="AY46" i="8"/>
  <c r="AZ46" i="8" s="1"/>
  <c r="AY45" i="8"/>
  <c r="AZ45" i="8" s="1"/>
  <c r="AY44" i="8"/>
  <c r="AZ44" i="8" s="1"/>
  <c r="AY43" i="8"/>
  <c r="AZ43" i="8" s="1"/>
  <c r="AY42" i="8"/>
  <c r="AZ42" i="8" s="1"/>
  <c r="AY41" i="8"/>
  <c r="AZ41" i="8" s="1"/>
  <c r="AY40" i="8"/>
  <c r="AZ40" i="8" s="1"/>
  <c r="AY39" i="8"/>
  <c r="AZ39" i="8" s="1"/>
  <c r="AY38" i="8"/>
  <c r="AZ38" i="8" s="1"/>
  <c r="AY37" i="8"/>
  <c r="AZ37" i="8" s="1"/>
  <c r="AY36" i="8"/>
  <c r="AZ36" i="8" s="1"/>
  <c r="AY35" i="8"/>
  <c r="AZ35" i="8" s="1"/>
  <c r="AY34" i="8"/>
  <c r="AZ34" i="8" s="1"/>
  <c r="AY33" i="8"/>
  <c r="AZ33" i="8" s="1"/>
  <c r="AY32" i="8"/>
  <c r="AZ32" i="8" s="1"/>
  <c r="AY31" i="8"/>
  <c r="AZ31" i="8" s="1"/>
  <c r="AY30" i="8"/>
  <c r="AZ30" i="8" s="1"/>
  <c r="AY29" i="8"/>
  <c r="AZ29" i="8" s="1"/>
  <c r="AY28" i="8"/>
  <c r="AZ28" i="8" s="1"/>
  <c r="AY27" i="8"/>
  <c r="AZ27" i="8" s="1"/>
  <c r="AY26" i="8"/>
  <c r="AZ26" i="8" s="1"/>
  <c r="AY25" i="8"/>
  <c r="AZ25" i="8" s="1"/>
  <c r="AY24" i="8"/>
  <c r="AZ24" i="8" s="1"/>
  <c r="AY23" i="8"/>
  <c r="AZ23" i="8" s="1"/>
  <c r="AY22" i="8"/>
  <c r="AY21" i="8"/>
  <c r="AY20" i="8"/>
  <c r="AZ20" i="8" s="1"/>
  <c r="AY19" i="8"/>
  <c r="AZ19" i="8" s="1"/>
  <c r="AY18" i="8"/>
  <c r="AZ18" i="8" s="1"/>
  <c r="AP55" i="14"/>
  <c r="AY53" i="14"/>
  <c r="AZ53" i="14" s="1"/>
  <c r="AY52" i="14"/>
  <c r="AZ52" i="14" s="1"/>
  <c r="AY51" i="14"/>
  <c r="AZ51" i="14" s="1"/>
  <c r="AY50" i="14"/>
  <c r="AZ50" i="14" s="1"/>
  <c r="AY49" i="14"/>
  <c r="AZ49" i="14" s="1"/>
  <c r="AY48" i="14"/>
  <c r="AZ48" i="14" s="1"/>
  <c r="AY47" i="14"/>
  <c r="AZ47" i="14" s="1"/>
  <c r="AY46" i="14"/>
  <c r="AZ46" i="14" s="1"/>
  <c r="AY45" i="14"/>
  <c r="AZ45" i="14" s="1"/>
  <c r="AY44" i="14"/>
  <c r="AZ44" i="14" s="1"/>
  <c r="AY43" i="14"/>
  <c r="AZ43" i="14" s="1"/>
  <c r="AY42" i="14"/>
  <c r="AZ42" i="14" s="1"/>
  <c r="AY41" i="14"/>
  <c r="AZ41" i="14" s="1"/>
  <c r="AY40" i="14"/>
  <c r="AZ40" i="14" s="1"/>
  <c r="AY39" i="14"/>
  <c r="AZ39" i="14" s="1"/>
  <c r="AY38" i="14"/>
  <c r="AZ38" i="14" s="1"/>
  <c r="AY37" i="14"/>
  <c r="AZ37" i="14" s="1"/>
  <c r="AY36" i="14"/>
  <c r="AZ36" i="14" s="1"/>
  <c r="AY35" i="14"/>
  <c r="AZ35" i="14" s="1"/>
  <c r="AY34" i="14"/>
  <c r="AZ34" i="14" s="1"/>
  <c r="AY33" i="14"/>
  <c r="AZ33" i="14" s="1"/>
  <c r="AY32" i="14"/>
  <c r="AZ32" i="14" s="1"/>
  <c r="AY31" i="14"/>
  <c r="AZ31" i="14" s="1"/>
  <c r="AY30" i="14"/>
  <c r="AZ30" i="14" s="1"/>
  <c r="AY29" i="14"/>
  <c r="AZ29" i="14" s="1"/>
  <c r="AY28" i="14"/>
  <c r="AZ28" i="14" s="1"/>
  <c r="AY27" i="14"/>
  <c r="AZ27" i="14" s="1"/>
  <c r="AY26" i="14"/>
  <c r="AZ26" i="14" s="1"/>
  <c r="AY25" i="14"/>
  <c r="AZ25" i="14" s="1"/>
  <c r="AY24" i="14"/>
  <c r="AZ24" i="14" s="1"/>
  <c r="AY23" i="14"/>
  <c r="AZ23" i="14" s="1"/>
  <c r="AY22" i="14"/>
  <c r="AZ22" i="14" s="1"/>
  <c r="AY21" i="14"/>
  <c r="AZ21" i="14" s="1"/>
  <c r="AY20" i="14"/>
  <c r="AZ20" i="14" s="1"/>
  <c r="AY19" i="14"/>
  <c r="AY18" i="14"/>
  <c r="AZ18" i="14" s="1"/>
  <c r="AP55" i="15"/>
  <c r="AY53" i="15"/>
  <c r="AZ53" i="15" s="1"/>
  <c r="AY52" i="15"/>
  <c r="AZ52" i="15" s="1"/>
  <c r="AY51" i="15"/>
  <c r="AZ51" i="15" s="1"/>
  <c r="AY50" i="15"/>
  <c r="AZ50" i="15" s="1"/>
  <c r="AY49" i="15"/>
  <c r="AZ49" i="15" s="1"/>
  <c r="AY48" i="15"/>
  <c r="AZ48" i="15" s="1"/>
  <c r="AY47" i="15"/>
  <c r="AZ47" i="15" s="1"/>
  <c r="AY46" i="15"/>
  <c r="AZ46" i="15" s="1"/>
  <c r="AY45" i="15"/>
  <c r="AZ45" i="15" s="1"/>
  <c r="AY44" i="15"/>
  <c r="AZ44" i="15" s="1"/>
  <c r="AY43" i="15"/>
  <c r="AZ43" i="15" s="1"/>
  <c r="AY42" i="15"/>
  <c r="AZ42" i="15" s="1"/>
  <c r="AY41" i="15"/>
  <c r="AZ41" i="15" s="1"/>
  <c r="AY40" i="15"/>
  <c r="AZ40" i="15" s="1"/>
  <c r="AY39" i="15"/>
  <c r="AZ39" i="15" s="1"/>
  <c r="AY38" i="15"/>
  <c r="AZ38" i="15" s="1"/>
  <c r="AY37" i="15"/>
  <c r="AZ37" i="15" s="1"/>
  <c r="AY36" i="15"/>
  <c r="AZ36" i="15" s="1"/>
  <c r="AY35" i="15"/>
  <c r="AZ35" i="15" s="1"/>
  <c r="AY34" i="15"/>
  <c r="AZ34" i="15" s="1"/>
  <c r="AY33" i="15"/>
  <c r="AZ33" i="15" s="1"/>
  <c r="AY32" i="15"/>
  <c r="AZ32" i="15" s="1"/>
  <c r="AY31" i="15"/>
  <c r="AZ31" i="15" s="1"/>
  <c r="AY30" i="15"/>
  <c r="AZ30" i="15" s="1"/>
  <c r="AY29" i="15"/>
  <c r="AZ29" i="15" s="1"/>
  <c r="AY28" i="15"/>
  <c r="AZ28" i="15" s="1"/>
  <c r="AY27" i="15"/>
  <c r="AZ27" i="15" s="1"/>
  <c r="AY26" i="15"/>
  <c r="AZ26" i="15" s="1"/>
  <c r="AY25" i="15"/>
  <c r="AZ25" i="15" s="1"/>
  <c r="AY24" i="15"/>
  <c r="AZ24" i="15" s="1"/>
  <c r="AY23" i="15"/>
  <c r="AZ23" i="15" s="1"/>
  <c r="AY22" i="15"/>
  <c r="AZ22" i="15" s="1"/>
  <c r="AY21" i="15"/>
  <c r="AZ21" i="15" s="1"/>
  <c r="AY20" i="15"/>
  <c r="AZ20" i="15" s="1"/>
  <c r="AY19" i="15"/>
  <c r="AZ19" i="15" s="1"/>
  <c r="AY18" i="15"/>
  <c r="AZ18" i="15" s="1"/>
  <c r="F69" i="17"/>
  <c r="F68" i="17"/>
  <c r="F67" i="17"/>
  <c r="F66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S58" i="14" l="1"/>
  <c r="AT58" i="14"/>
  <c r="AR57" i="14"/>
  <c r="AR59" i="14"/>
  <c r="AS59" i="14"/>
  <c r="AS59" i="8"/>
  <c r="AR58" i="8"/>
  <c r="AR57" i="8"/>
  <c r="Q26" i="17"/>
  <c r="AL26" i="17" s="1"/>
  <c r="AM26" i="17" s="1"/>
  <c r="AT58" i="17"/>
  <c r="AT59" i="17"/>
  <c r="AR59" i="17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Q50" i="17"/>
  <c r="AT59" i="16"/>
  <c r="AT58" i="16"/>
  <c r="Q18" i="16"/>
  <c r="AL18" i="16" s="1"/>
  <c r="AM18" i="16" s="1"/>
  <c r="Q34" i="16"/>
  <c r="Q45" i="16"/>
  <c r="Q21" i="16"/>
  <c r="AL21" i="16" s="1"/>
  <c r="AM21" i="16" s="1"/>
  <c r="Q25" i="16"/>
  <c r="AL25" i="16" s="1"/>
  <c r="AM25" i="16" s="1"/>
  <c r="Q27" i="16"/>
  <c r="AL27" i="16" s="1"/>
  <c r="AM27" i="16" s="1"/>
  <c r="Q29" i="16"/>
  <c r="AL29" i="16" s="1"/>
  <c r="AM29" i="16" s="1"/>
  <c r="Q33" i="16"/>
  <c r="AL33" i="16" s="1"/>
  <c r="AM33" i="16" s="1"/>
  <c r="Q26" i="16"/>
  <c r="AL26" i="16" s="1"/>
  <c r="AM26" i="16" s="1"/>
  <c r="AL34" i="16"/>
  <c r="AM34" i="16" s="1"/>
  <c r="Q53" i="16"/>
  <c r="Q29" i="17"/>
  <c r="Q49" i="17"/>
  <c r="Q53" i="17"/>
  <c r="AL29" i="17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L37" i="16" s="1"/>
  <c r="AM37" i="16" s="1"/>
  <c r="Q41" i="16"/>
  <c r="AL41" i="16" s="1"/>
  <c r="AM41" i="16" s="1"/>
  <c r="Q47" i="16"/>
  <c r="AL47" i="16" s="1"/>
  <c r="AM47" i="16" s="1"/>
  <c r="Q42" i="16"/>
  <c r="AL42" i="16" s="1"/>
  <c r="AM42" i="16" s="1"/>
  <c r="Q46" i="16"/>
  <c r="AL46" i="16" s="1"/>
  <c r="AM46" i="16" s="1"/>
  <c r="Q48" i="16"/>
  <c r="AL48" i="16" s="1"/>
  <c r="AM48" i="16" s="1"/>
  <c r="Q50" i="16"/>
  <c r="AL50" i="16" s="1"/>
  <c r="AM50" i="16" s="1"/>
  <c r="Q52" i="16"/>
  <c r="AL52" i="16" s="1"/>
  <c r="AM52" i="16" s="1"/>
  <c r="AL44" i="17"/>
  <c r="AM44" i="17" s="1"/>
  <c r="Q38" i="17"/>
  <c r="AL38" i="17" s="1"/>
  <c r="AM38" i="17" s="1"/>
  <c r="Q42" i="17"/>
  <c r="AL42" i="17" s="1"/>
  <c r="AM42" i="17" s="1"/>
  <c r="Q34" i="17"/>
  <c r="AL34" i="17" s="1"/>
  <c r="AM34" i="17" s="1"/>
  <c r="Q44" i="17"/>
  <c r="Q35" i="17"/>
  <c r="AL35" i="17" s="1"/>
  <c r="AM35" i="17" s="1"/>
  <c r="Q37" i="17"/>
  <c r="AL37" i="17" s="1"/>
  <c r="AM37" i="17" s="1"/>
  <c r="Q45" i="17"/>
  <c r="AL45" i="17" s="1"/>
  <c r="AM45" i="17" s="1"/>
  <c r="Q47" i="17"/>
  <c r="AL47" i="17" s="1"/>
  <c r="AM47" i="17" s="1"/>
  <c r="Q18" i="15"/>
  <c r="AL18" i="15" s="1"/>
  <c r="AM18" i="15" s="1"/>
  <c r="Q34" i="15"/>
  <c r="AL34" i="15" s="1"/>
  <c r="AM34" i="15" s="1"/>
  <c r="Q31" i="15"/>
  <c r="AL31" i="15" s="1"/>
  <c r="AM31" i="15" s="1"/>
  <c r="Q33" i="15"/>
  <c r="AL33" i="15" s="1"/>
  <c r="AM33" i="15" s="1"/>
  <c r="Q37" i="15"/>
  <c r="AL37" i="15" s="1"/>
  <c r="AM37" i="15" s="1"/>
  <c r="Q21" i="15"/>
  <c r="AL21" i="15" s="1"/>
  <c r="AM21" i="15" s="1"/>
  <c r="Q29" i="15"/>
  <c r="AL29" i="15" s="1"/>
  <c r="AM29" i="15" s="1"/>
  <c r="Q24" i="15"/>
  <c r="AL24" i="15" s="1"/>
  <c r="AM24" i="15" s="1"/>
  <c r="Q26" i="15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L20" i="16" s="1"/>
  <c r="AM20" i="16" s="1"/>
  <c r="Q27" i="17"/>
  <c r="AL27" i="17" s="1"/>
  <c r="AM27" i="17" s="1"/>
  <c r="Q21" i="17"/>
  <c r="AL21" i="17" s="1"/>
  <c r="AM21" i="17" s="1"/>
  <c r="Q20" i="17"/>
  <c r="AL20" i="17" s="1"/>
  <c r="AM20" i="17" s="1"/>
  <c r="Q24" i="17"/>
  <c r="AL24" i="17" s="1"/>
  <c r="AM24" i="17" s="1"/>
  <c r="Q23" i="15"/>
  <c r="AL23" i="15" s="1"/>
  <c r="AM23" i="15" s="1"/>
  <c r="AL22" i="14"/>
  <c r="AM22" i="14" s="1"/>
  <c r="Q51" i="16"/>
  <c r="AL51" i="16" s="1"/>
  <c r="AM51" i="16" s="1"/>
  <c r="Q19" i="16"/>
  <c r="AL19" i="16" s="1"/>
  <c r="AM19" i="16" s="1"/>
  <c r="Q36" i="16"/>
  <c r="AL36" i="16" s="1"/>
  <c r="AM36" i="16" s="1"/>
  <c r="Q38" i="16"/>
  <c r="AL38" i="16" s="1"/>
  <c r="AM38" i="16" s="1"/>
  <c r="Q40" i="16"/>
  <c r="AL40" i="16" s="1"/>
  <c r="AM40" i="16" s="1"/>
  <c r="Q44" i="16"/>
  <c r="AL44" i="16" s="1"/>
  <c r="AM44" i="16" s="1"/>
  <c r="Q31" i="16"/>
  <c r="AL31" i="16" s="1"/>
  <c r="AM31" i="16" s="1"/>
  <c r="Q35" i="16"/>
  <c r="AL35" i="16" s="1"/>
  <c r="AM35" i="16" s="1"/>
  <c r="Q22" i="16"/>
  <c r="AL22" i="16" s="1"/>
  <c r="AM22" i="16" s="1"/>
  <c r="Q24" i="16"/>
  <c r="AL24" i="16" s="1"/>
  <c r="AM24" i="16" s="1"/>
  <c r="Q39" i="16"/>
  <c r="AL39" i="16" s="1"/>
  <c r="AM39" i="16" s="1"/>
  <c r="Q43" i="16"/>
  <c r="Q28" i="16"/>
  <c r="AL28" i="16" s="1"/>
  <c r="AM28" i="16" s="1"/>
  <c r="Q30" i="16"/>
  <c r="AL30" i="16" s="1"/>
  <c r="AM30" i="16" s="1"/>
  <c r="Q32" i="16"/>
  <c r="AL32" i="16" s="1"/>
  <c r="AM32" i="16" s="1"/>
  <c r="Q49" i="16"/>
  <c r="AL49" i="16" s="1"/>
  <c r="AM49" i="16" s="1"/>
  <c r="Q31" i="17"/>
  <c r="AL31" i="17" s="1"/>
  <c r="AM31" i="17" s="1"/>
  <c r="Q33" i="17"/>
  <c r="AL33" i="17" s="1"/>
  <c r="AM33" i="17" s="1"/>
  <c r="Q40" i="17"/>
  <c r="AL40" i="17" s="1"/>
  <c r="AM40" i="17" s="1"/>
  <c r="Q46" i="17"/>
  <c r="AL46" i="17" s="1"/>
  <c r="AM46" i="17" s="1"/>
  <c r="Q22" i="17"/>
  <c r="AL22" i="17" s="1"/>
  <c r="AM22" i="17" s="1"/>
  <c r="Q39" i="17"/>
  <c r="AL39" i="17" s="1"/>
  <c r="AM39" i="17" s="1"/>
  <c r="Q41" i="17"/>
  <c r="AL41" i="17" s="1"/>
  <c r="AM41" i="17" s="1"/>
  <c r="Q48" i="17"/>
  <c r="AL48" i="17" s="1"/>
  <c r="AM48" i="17" s="1"/>
  <c r="Q18" i="17"/>
  <c r="AL18" i="17" s="1"/>
  <c r="AM18" i="17" s="1"/>
  <c r="Q28" i="17"/>
  <c r="AL28" i="17" s="1"/>
  <c r="AM28" i="17" s="1"/>
  <c r="Q43" i="17"/>
  <c r="AL43" i="17" s="1"/>
  <c r="AM43" i="17" s="1"/>
  <c r="Q19" i="17"/>
  <c r="AL19" i="17" s="1"/>
  <c r="AM19" i="17" s="1"/>
  <c r="Q30" i="17"/>
  <c r="AL30" i="17" s="1"/>
  <c r="AM30" i="17" s="1"/>
  <c r="Q36" i="17"/>
  <c r="AL36" i="17" s="1"/>
  <c r="AM36" i="17" s="1"/>
  <c r="Q51" i="17"/>
  <c r="AL51" i="17" s="1"/>
  <c r="AM51" i="17" s="1"/>
  <c r="Q23" i="17"/>
  <c r="Q25" i="17"/>
  <c r="AL25" i="17" s="1"/>
  <c r="AM25" i="17" s="1"/>
  <c r="Q32" i="17"/>
  <c r="AL32" i="17" s="1"/>
  <c r="AM32" i="17" s="1"/>
  <c r="Q27" i="15"/>
  <c r="Q38" i="15"/>
  <c r="AL38" i="15" s="1"/>
  <c r="AM38" i="15" s="1"/>
  <c r="Q44" i="15"/>
  <c r="Q40" i="15"/>
  <c r="Q20" i="15"/>
  <c r="AL20" i="15" s="1"/>
  <c r="AM20" i="15" s="1"/>
  <c r="Q35" i="15"/>
  <c r="AL39" i="15"/>
  <c r="AM39" i="15" s="1"/>
  <c r="Q41" i="15"/>
  <c r="Q48" i="15"/>
  <c r="Q28" i="15"/>
  <c r="AL28" i="15" s="1"/>
  <c r="AM28" i="15" s="1"/>
  <c r="Q43" i="15"/>
  <c r="AL43" i="15" s="1"/>
  <c r="AM43" i="15" s="1"/>
  <c r="Q32" i="15"/>
  <c r="AL32" i="15" s="1"/>
  <c r="AM32" i="15" s="1"/>
  <c r="Q47" i="15"/>
  <c r="AL47" i="15" s="1"/>
  <c r="AM47" i="15" s="1"/>
  <c r="Q49" i="15"/>
  <c r="Q19" i="15"/>
  <c r="Q30" i="15"/>
  <c r="Q36" i="15"/>
  <c r="Q51" i="15"/>
  <c r="Q53" i="15"/>
  <c r="AL50" i="15"/>
  <c r="AM50" i="15" s="1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L22" i="15" s="1"/>
  <c r="AM22" i="15" s="1"/>
  <c r="Q23" i="16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N55" i="17"/>
  <c r="AL50" i="17"/>
  <c r="AM50" i="17" s="1"/>
  <c r="AO55" i="17"/>
  <c r="AZ23" i="17"/>
  <c r="AL49" i="17"/>
  <c r="AM49" i="17" s="1"/>
  <c r="AK63" i="13"/>
  <c r="AK63" i="8"/>
  <c r="AZ21" i="8"/>
  <c r="AK63" i="14"/>
  <c r="AZ19" i="14"/>
  <c r="AZ54" i="14" s="1"/>
  <c r="AX54" i="14" s="1"/>
  <c r="AK63" i="15"/>
  <c r="AZ54" i="13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X54" i="13" l="1"/>
  <c r="AN63" i="13" s="1"/>
  <c r="AT58" i="15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L30" i="15"/>
  <c r="AM30" i="15" s="1"/>
  <c r="AL36" i="15"/>
  <c r="AM36" i="15" s="1"/>
  <c r="AL25" i="15"/>
  <c r="AM25" i="15" s="1"/>
  <c r="AL19" i="15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K63" i="17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X55" i="16"/>
  <c r="AU55" i="16"/>
  <c r="AP55" i="16"/>
  <c r="E55" i="16"/>
  <c r="D55" i="16"/>
  <c r="B54" i="16"/>
  <c r="D26" i="19" s="1"/>
  <c r="AZ53" i="16"/>
  <c r="AI53" i="16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I44" i="16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I43" i="16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I26" i="16"/>
  <c r="AH26" i="16"/>
  <c r="AG26" i="16"/>
  <c r="AF26" i="16"/>
  <c r="AE26" i="16"/>
  <c r="AD26" i="16"/>
  <c r="AC26" i="16"/>
  <c r="AB26" i="16"/>
  <c r="W26" i="16"/>
  <c r="V26" i="16"/>
  <c r="T26" i="16"/>
  <c r="S26" i="16"/>
  <c r="R26" i="16"/>
  <c r="AZ25" i="16"/>
  <c r="AI25" i="16"/>
  <c r="AH25" i="16"/>
  <c r="AG25" i="16"/>
  <c r="AF25" i="16"/>
  <c r="AE25" i="16"/>
  <c r="AD25" i="16"/>
  <c r="AC25" i="16"/>
  <c r="Y25" i="16"/>
  <c r="W25" i="16"/>
  <c r="V25" i="16"/>
  <c r="T25" i="16"/>
  <c r="S25" i="16"/>
  <c r="R25" i="16"/>
  <c r="AZ24" i="16"/>
  <c r="AI24" i="16"/>
  <c r="AH24" i="16"/>
  <c r="AG24" i="16"/>
  <c r="AF24" i="16"/>
  <c r="AE24" i="16"/>
  <c r="AD24" i="16"/>
  <c r="AC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R56" i="15" l="1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W24" i="19" s="1"/>
  <c r="AR55" i="15"/>
  <c r="AS56" i="15"/>
  <c r="Z22" i="19" s="1"/>
  <c r="AT55" i="15"/>
  <c r="AA22" i="19" s="1"/>
  <c r="AR55" i="16"/>
  <c r="W26" i="19" s="1"/>
  <c r="AS55" i="16"/>
  <c r="Y26" i="19" s="1"/>
  <c r="AA24" i="19"/>
  <c r="AT55" i="16"/>
  <c r="AA26" i="19" s="1"/>
  <c r="AP56" i="13"/>
  <c r="R16" i="19" s="1"/>
  <c r="AN54" i="13"/>
  <c r="D20" i="19"/>
  <c r="AP56" i="14"/>
  <c r="AP54" i="14" s="1"/>
  <c r="AP56" i="17"/>
  <c r="AP54" i="17" s="1"/>
  <c r="F72" i="17"/>
  <c r="F70" i="17"/>
  <c r="F74" i="17" s="1"/>
  <c r="X51" i="16"/>
  <c r="X39" i="16"/>
  <c r="Y39" i="16" s="1"/>
  <c r="X42" i="16"/>
  <c r="X50" i="16"/>
  <c r="AA50" i="16" s="1"/>
  <c r="X36" i="16"/>
  <c r="Z36" i="16" s="1"/>
  <c r="X49" i="16"/>
  <c r="AB49" i="16" s="1"/>
  <c r="X46" i="16"/>
  <c r="X30" i="16"/>
  <c r="AA30" i="16" s="1"/>
  <c r="X22" i="16"/>
  <c r="X53" i="16"/>
  <c r="X24" i="16"/>
  <c r="AB24" i="16" s="1"/>
  <c r="X34" i="16"/>
  <c r="AA34" i="16" s="1"/>
  <c r="X40" i="16"/>
  <c r="X28" i="16"/>
  <c r="X45" i="16"/>
  <c r="AA45" i="16" s="1"/>
  <c r="D24" i="19"/>
  <c r="AO54" i="17"/>
  <c r="AN54" i="17"/>
  <c r="X29" i="17"/>
  <c r="Z29" i="17" s="1"/>
  <c r="X30" i="17"/>
  <c r="X36" i="17"/>
  <c r="AA36" i="17" s="1"/>
  <c r="X41" i="17"/>
  <c r="Y41" i="17" s="1"/>
  <c r="X22" i="17"/>
  <c r="Z22" i="17" s="1"/>
  <c r="X27" i="17"/>
  <c r="AA27" i="17" s="1"/>
  <c r="X48" i="17"/>
  <c r="X53" i="17"/>
  <c r="X25" i="17"/>
  <c r="X44" i="17"/>
  <c r="X37" i="17"/>
  <c r="X42" i="17"/>
  <c r="AB42" i="17" s="1"/>
  <c r="X51" i="17"/>
  <c r="X35" i="17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Z44" i="14" s="1"/>
  <c r="X41" i="14"/>
  <c r="AB41" i="14" s="1"/>
  <c r="X24" i="14"/>
  <c r="X49" i="14"/>
  <c r="X30" i="14"/>
  <c r="Z30" i="14" s="1"/>
  <c r="X42" i="14"/>
  <c r="AA42" i="14" s="1"/>
  <c r="X51" i="14"/>
  <c r="X25" i="14"/>
  <c r="AA25" i="14" s="1"/>
  <c r="X47" i="14"/>
  <c r="Y47" i="14" s="1"/>
  <c r="Y23" i="14"/>
  <c r="X36" i="14"/>
  <c r="AA36" i="14" s="1"/>
  <c r="X31" i="14"/>
  <c r="AA31" i="14" s="1"/>
  <c r="X38" i="14"/>
  <c r="AA38" i="14" s="1"/>
  <c r="X53" i="14"/>
  <c r="X23" i="16"/>
  <c r="Z23" i="16" s="1"/>
  <c r="X24" i="17"/>
  <c r="Z24" i="17" s="1"/>
  <c r="F70" i="15"/>
  <c r="F74" i="15" s="1"/>
  <c r="D22" i="19"/>
  <c r="AN54" i="15"/>
  <c r="J63" i="15" s="1"/>
  <c r="D16" i="19"/>
  <c r="AO54" i="13"/>
  <c r="X27" i="16"/>
  <c r="X29" i="16"/>
  <c r="AB29" i="16" s="1"/>
  <c r="X41" i="16"/>
  <c r="AA41" i="16" s="1"/>
  <c r="X25" i="16"/>
  <c r="AA25" i="16" s="1"/>
  <c r="X26" i="16"/>
  <c r="Y26" i="16" s="1"/>
  <c r="X37" i="16"/>
  <c r="Z37" i="16" s="1"/>
  <c r="X38" i="16"/>
  <c r="R54" i="16"/>
  <c r="R55" i="16" s="1"/>
  <c r="C63" i="16" s="1"/>
  <c r="X52" i="16"/>
  <c r="AN55" i="16"/>
  <c r="O26" i="19" s="1"/>
  <c r="X33" i="16"/>
  <c r="Z33" i="16" s="1"/>
  <c r="X35" i="16"/>
  <c r="Y35" i="16" s="1"/>
  <c r="X47" i="16"/>
  <c r="X48" i="16"/>
  <c r="AA48" i="16" s="1"/>
  <c r="X31" i="16"/>
  <c r="X32" i="16"/>
  <c r="X43" i="16"/>
  <c r="X44" i="16"/>
  <c r="X21" i="16"/>
  <c r="AA21" i="16" s="1"/>
  <c r="X20" i="16"/>
  <c r="AA20" i="16" s="1"/>
  <c r="X45" i="17"/>
  <c r="X50" i="17"/>
  <c r="X26" i="17"/>
  <c r="X28" i="17"/>
  <c r="AB28" i="17" s="1"/>
  <c r="X43" i="17"/>
  <c r="AB43" i="17" s="1"/>
  <c r="X49" i="17"/>
  <c r="X33" i="17"/>
  <c r="X47" i="17"/>
  <c r="Z47" i="17" s="1"/>
  <c r="R54" i="17"/>
  <c r="R55" i="17" s="1"/>
  <c r="C63" i="17" s="1"/>
  <c r="X32" i="17"/>
  <c r="X34" i="17"/>
  <c r="X23" i="17"/>
  <c r="AB23" i="17" s="1"/>
  <c r="X31" i="17"/>
  <c r="X52" i="17"/>
  <c r="O24" i="19"/>
  <c r="X39" i="17"/>
  <c r="X46" i="17"/>
  <c r="AA46" i="17" s="1"/>
  <c r="X21" i="17"/>
  <c r="X38" i="17"/>
  <c r="AA38" i="17" s="1"/>
  <c r="X40" i="17"/>
  <c r="AA40" i="17" s="1"/>
  <c r="X35" i="15"/>
  <c r="X40" i="15"/>
  <c r="X26" i="15"/>
  <c r="Y26" i="15" s="1"/>
  <c r="X30" i="15"/>
  <c r="X32" i="15"/>
  <c r="Z32" i="15" s="1"/>
  <c r="X29" i="15"/>
  <c r="AA29" i="15" s="1"/>
  <c r="X42" i="15"/>
  <c r="X50" i="15"/>
  <c r="X34" i="15"/>
  <c r="X49" i="15"/>
  <c r="X39" i="15"/>
  <c r="X51" i="15"/>
  <c r="X36" i="15"/>
  <c r="X46" i="15"/>
  <c r="X41" i="15"/>
  <c r="X28" i="15"/>
  <c r="X52" i="15"/>
  <c r="X38" i="15"/>
  <c r="X45" i="15"/>
  <c r="X48" i="15"/>
  <c r="X31" i="15"/>
  <c r="X27" i="15"/>
  <c r="X44" i="15"/>
  <c r="X47" i="15"/>
  <c r="X37" i="15"/>
  <c r="Y37" i="15" s="1"/>
  <c r="X33" i="15"/>
  <c r="AA33" i="15" s="1"/>
  <c r="X53" i="15"/>
  <c r="X43" i="15"/>
  <c r="X43" i="14"/>
  <c r="AA43" i="14" s="1"/>
  <c r="X48" i="14"/>
  <c r="X29" i="14"/>
  <c r="Z29" i="14" s="1"/>
  <c r="X35" i="14"/>
  <c r="Z35" i="14" s="1"/>
  <c r="X37" i="14"/>
  <c r="Z37" i="14" s="1"/>
  <c r="X27" i="14"/>
  <c r="Z27" i="14" s="1"/>
  <c r="X28" i="14"/>
  <c r="AB28" i="14" s="1"/>
  <c r="X33" i="14"/>
  <c r="Y33" i="14" s="1"/>
  <c r="X34" i="14"/>
  <c r="AA34" i="14" s="1"/>
  <c r="X40" i="14"/>
  <c r="AA40" i="14" s="1"/>
  <c r="X46" i="14"/>
  <c r="Z46" i="14" s="1"/>
  <c r="X45" i="14"/>
  <c r="Z45" i="14" s="1"/>
  <c r="X39" i="14"/>
  <c r="AA39" i="14" s="1"/>
  <c r="X50" i="14"/>
  <c r="X52" i="14"/>
  <c r="X26" i="14"/>
  <c r="AA26" i="14" s="1"/>
  <c r="X32" i="14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X18" i="16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B20" i="17" s="1"/>
  <c r="V54" i="17"/>
  <c r="X19" i="17"/>
  <c r="AB19" i="17" s="1"/>
  <c r="X18" i="17"/>
  <c r="Z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Y23" i="15" s="1"/>
  <c r="X22" i="15"/>
  <c r="AA22" i="15" s="1"/>
  <c r="X24" i="15"/>
  <c r="AA24" i="15" s="1"/>
  <c r="R54" i="15"/>
  <c r="R55" i="15" s="1"/>
  <c r="C63" i="15" s="1"/>
  <c r="X25" i="15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P56" i="16"/>
  <c r="AP54" i="16" s="1"/>
  <c r="D72" i="16"/>
  <c r="AG54" i="15"/>
  <c r="AG55" i="15" s="1"/>
  <c r="U54" i="15"/>
  <c r="U55" i="15" s="1"/>
  <c r="F63" i="15" s="1"/>
  <c r="X21" i="15"/>
  <c r="AA21" i="15" s="1"/>
  <c r="X18" i="15"/>
  <c r="AA18" i="15" s="1"/>
  <c r="X20" i="15"/>
  <c r="C72" i="15"/>
  <c r="D72" i="15"/>
  <c r="AC54" i="15"/>
  <c r="AC55" i="15" s="1"/>
  <c r="X19" i="15"/>
  <c r="AA19" i="15" s="1"/>
  <c r="E72" i="15"/>
  <c r="F72" i="15"/>
  <c r="AE54" i="15"/>
  <c r="G72" i="15"/>
  <c r="AB19" i="15"/>
  <c r="AN63" i="15"/>
  <c r="W54" i="14"/>
  <c r="W55" i="14" s="1"/>
  <c r="H63" i="14" s="1"/>
  <c r="X18" i="14"/>
  <c r="AG54" i="14"/>
  <c r="AE54" i="14"/>
  <c r="AE55" i="14" s="1"/>
  <c r="X20" i="14"/>
  <c r="X19" i="14"/>
  <c r="AA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A22" i="14" s="1"/>
  <c r="AN55" i="14"/>
  <c r="O20" i="19" s="1"/>
  <c r="X21" i="14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AN63" i="16" l="1"/>
  <c r="Z26" i="17"/>
  <c r="Y26" i="17"/>
  <c r="AA21" i="14"/>
  <c r="AB21" i="14"/>
  <c r="Z25" i="17"/>
  <c r="Y25" i="17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K63" i="16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X54" i="17"/>
  <c r="X56" i="17"/>
  <c r="X57" i="17" s="1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AC54" i="16" l="1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H63" i="16"/>
  <c r="L54" i="16"/>
  <c r="K26" i="19" s="1"/>
  <c r="G63" i="17"/>
  <c r="K54" i="17"/>
  <c r="J24" i="19" s="1"/>
  <c r="X55" i="17"/>
  <c r="AO54" i="14"/>
  <c r="K63" i="14" s="1"/>
  <c r="X55" i="15"/>
  <c r="AJ54" i="15" s="1"/>
  <c r="X55" i="14"/>
  <c r="AJ54" i="14" s="1"/>
  <c r="X55" i="13"/>
  <c r="AJ54" i="13" s="1"/>
  <c r="AJ54" i="16" l="1"/>
  <c r="M26" i="19" s="1"/>
  <c r="AJ54" i="17"/>
  <c r="I63" i="17" s="1"/>
  <c r="AC56" i="16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M22" i="19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AP56" i="8" l="1"/>
  <c r="X46" i="8"/>
  <c r="X38" i="8"/>
  <c r="AC38" i="8" s="1"/>
  <c r="X30" i="8"/>
  <c r="AB30" i="8" s="1"/>
  <c r="X37" i="8"/>
  <c r="X39" i="8"/>
  <c r="Y39" i="8" s="1"/>
  <c r="AN55" i="8"/>
  <c r="O18" i="19" s="1"/>
  <c r="O29" i="19" s="1"/>
  <c r="X51" i="8"/>
  <c r="X36" i="8"/>
  <c r="Z36" i="8" s="1"/>
  <c r="X53" i="8"/>
  <c r="X31" i="8"/>
  <c r="AC31" i="8" s="1"/>
  <c r="X32" i="8"/>
  <c r="X47" i="8"/>
  <c r="Z47" i="8" s="1"/>
  <c r="X42" i="8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X27" i="8"/>
  <c r="X28" i="8"/>
  <c r="X35" i="8"/>
  <c r="X44" i="8"/>
  <c r="X43" i="8"/>
  <c r="S54" i="8"/>
  <c r="S55" i="8" s="1"/>
  <c r="D63" i="8" s="1"/>
  <c r="X25" i="8"/>
  <c r="Z25" i="8" s="1"/>
  <c r="X26" i="8"/>
  <c r="Z26" i="8" s="1"/>
  <c r="X41" i="8"/>
  <c r="Z41" i="8" s="1"/>
  <c r="X33" i="8"/>
  <c r="AA33" i="8" s="1"/>
  <c r="X34" i="8"/>
  <c r="X40" i="8"/>
  <c r="Y40" i="8" s="1"/>
  <c r="X50" i="8"/>
  <c r="X49" i="8"/>
  <c r="Z49" i="8" s="1"/>
  <c r="X29" i="8"/>
  <c r="AA29" i="8" s="1"/>
  <c r="X48" i="8"/>
  <c r="Z48" i="8" s="1"/>
  <c r="X24" i="8"/>
  <c r="AE54" i="8"/>
  <c r="T54" i="8"/>
  <c r="T55" i="8" s="1"/>
  <c r="AH54" i="8"/>
  <c r="AH55" i="8" s="1"/>
  <c r="X22" i="8"/>
  <c r="AA22" i="8" s="1"/>
  <c r="X21" i="8"/>
  <c r="AA21" i="8" s="1"/>
  <c r="AF54" i="8"/>
  <c r="AF55" i="8" s="1"/>
  <c r="AD54" i="8"/>
  <c r="AD55" i="8" s="1"/>
  <c r="W54" i="8"/>
  <c r="W55" i="8" s="1"/>
  <c r="X18" i="8"/>
  <c r="X23" i="8"/>
  <c r="Z23" i="8" s="1"/>
  <c r="X20" i="8"/>
  <c r="Z20" i="8" s="1"/>
  <c r="AG54" i="8"/>
  <c r="AG55" i="8" s="1"/>
  <c r="V54" i="8"/>
  <c r="X19" i="8"/>
  <c r="AA19" i="8" s="1"/>
  <c r="U55" i="8"/>
  <c r="F63" i="8" s="1"/>
  <c r="AP54" i="8" l="1"/>
  <c r="R18" i="19" s="1"/>
  <c r="R29" i="19" s="1"/>
  <c r="AA27" i="8"/>
  <c r="Z27" i="8"/>
  <c r="Y51" i="8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L63" i="8" l="1"/>
  <c r="AC54" i="8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l="1"/>
  <c r="M18" i="19" s="1"/>
  <c r="M28" i="19" s="1"/>
  <c r="M29" i="19" s="1"/>
  <c r="AC56" i="8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 l="1"/>
  <c r="J63" i="13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E7683167-0E7F-4FC0-9AD7-26B7A76305A3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324E495E-86E2-4EF4-8623-BA9E2FA8B18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32B4D1FE-90B1-4832-8C90-E0C88D24652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AA4D31D-BF24-41EC-81CF-759728EDB172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D6D5516-A63D-462E-B9D0-49B421D0510D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DE5BFF3F-143D-43A4-AE5D-08CC5C9440B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9669D01-4CA8-4318-BFF3-9CACD1053E6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8620DF42-BC1A-4D00-A5B8-F96EE2FF3E1D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26889F-CBCA-4B60-8AEA-DAFB2CCAC75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0253C35E-45D7-4FF9-9876-6E7804832EA4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B7B3783-DC31-4361-B0E0-A321A69146A4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1DD90B0B-DC7C-4F80-98DE-52EAF902CEC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<sst xmlns="http://schemas.openxmlformats.org/spreadsheetml/2006/main" count="1546" uniqueCount="177">
  <si>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</si>
  <si>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</si>
  <si>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</si>
  <si>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</si>
  <si>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</si>
  <si>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</si>
  <si>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</si>
  <si>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</si>
  <si>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</si>
  <si>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</si>
  <si>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</si>
  <si>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</si>
  <si>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</si>
  <si>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</si>
  <si>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</si>
  <si>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</si>
  <si>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</si>
  <si>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</si>
  <si>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</si>
  <si>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</si>
  <si>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</si>
  <si>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</si>
  <si>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</si>
  <si>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</si>
  <si>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</si>
  <si>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</si>
  <si>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</si>
  <si>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</si>
  <si>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</si>
  <si>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</si>
  <si>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</si>
  <si>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</si>
  <si>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</si>
  <si>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</si>
  <si>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</si>
  <si>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</si>
  <si>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</si>
  <si>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</si>
  <si>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</si>
  <si>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</si>
  <si>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</si>
  <si>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</si>
  <si>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</si>
  <si>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</si>
  <si>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</si>
  <si>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</si>
  <si>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</si>
  <si>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</si>
  <si>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</si>
  <si>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</si>
  <si>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</si>
  <si>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</si>
  <si>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</si>
  <si>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</si>
  <si>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</si>
  <si>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</si>
  <si>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</si>
  <si>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</si>
  <si>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</si>
  <si>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</si>
  <si>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</si>
  <si>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</si>
  <si>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</si>
  <si>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</si>
  <si>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</si>
  <si>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</si>
  <si>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</si>
  <si>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</si>
  <si>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</si>
  <si>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</si>
  <si>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</si>
  <si>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</si>
  <si>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</si>
  <si>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</si>
  <si>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</si>
  <si>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</si>
  <si>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</si>
  <si>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</si>
  <si>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</si>
  <si>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</si>
  <si>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</si>
  <si>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</si>
  <si>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</si>
  <si>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</si>
  <si>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</si>
  <si>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</si>
  <si>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</si>
  <si>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</si>
  <si>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</si>
  <si>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</si>
  <si>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</si>
  <si>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</si>
  <si>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</si>
  <si>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</si>
  <si>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</si>
  <si>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</si>
  <si>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</si>
  <si>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</si>
  <si>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</si>
  <si>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</si>
  <si>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</si>
  <si>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</si>
  <si>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</si>
  <si>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</si>
  <si>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</si>
  <si>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</si>
  <si>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</si>
  <si>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</si>
  <si>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</si>
  <si>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</si>
  <si>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</si>
  <si>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</si>
  <si>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</si>
  <si>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</si>
  <si>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</si>
  <si>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</si>
  <si>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</si>
  <si>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</si>
  <si>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</si>
  <si>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</si>
  <si>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</si>
  <si>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</si>
  <si>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</si>
  <si>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</si>
  <si>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</si>
  <si>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</si>
  <si>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 xml:space="preserve">groep </t>
  </si>
  <si>
    <t>LEERLING:</t>
  </si>
  <si>
    <t xml:space="preserve">namen </t>
  </si>
  <si>
    <t>TL</t>
  </si>
  <si>
    <t>SP</t>
  </si>
  <si>
    <t>WW</t>
  </si>
  <si>
    <t>HR</t>
  </si>
  <si>
    <t>RW</t>
  </si>
  <si>
    <t>GEM</t>
  </si>
  <si>
    <t>AANLEG</t>
  </si>
  <si>
    <t>Schoolweging</t>
  </si>
  <si>
    <t>Signaleringswaarde</t>
  </si>
  <si>
    <t>LG 1S/2F</t>
  </si>
  <si>
    <t>LG 1F</t>
  </si>
  <si>
    <t>SCHOOLWEGING SIGNAALSCORE</t>
  </si>
  <si>
    <t>SIGNAAL</t>
  </si>
  <si>
    <t>TOTAAL</t>
  </si>
  <si>
    <t>groep(en):</t>
  </si>
  <si>
    <t>datum:</t>
  </si>
  <si>
    <t>SPELLEN</t>
  </si>
  <si>
    <t>wat</t>
  </si>
  <si>
    <t xml:space="preserve">WERKWOORDEN SPELLEN </t>
  </si>
  <si>
    <t>HOOFDREKENEN</t>
  </si>
  <si>
    <t>INTENSIEVE AANPAK = LAAGSTE 10 - 20%</t>
  </si>
  <si>
    <t>wie</t>
  </si>
  <si>
    <t>VERRIJKTE AANPAK = HOOGSTE 10 - 20%</t>
  </si>
  <si>
    <t>De leerkracht maakt het plan</t>
  </si>
  <si>
    <t>Je laat ALLEEN de belangrijke bladen staan.</t>
  </si>
  <si>
    <r>
      <t xml:space="preserve">De rest </t>
    </r>
    <r>
      <rPr>
        <sz val="20"/>
        <color rgb="FFCC00FF"/>
        <rFont val="Arial"/>
        <family val="2"/>
      </rPr>
      <t>VERBERGEN</t>
    </r>
  </si>
  <si>
    <r>
      <t xml:space="preserve">Zo maak je een blad weer </t>
    </r>
    <r>
      <rPr>
        <sz val="22"/>
        <color rgb="FFCC00FF"/>
        <rFont val="Arial"/>
        <family val="2"/>
      </rPr>
      <t>ZICHTBAAR</t>
    </r>
  </si>
  <si>
    <t>2. Klik op het woordje 'Zichtbaar maken'.</t>
  </si>
  <si>
    <t>2. Klik op het woordje 'Verbergen'.</t>
  </si>
  <si>
    <t>1. Klik met de RECHTER muisknop op het tabblad dat je wilt verbergen.</t>
  </si>
  <si>
    <t>1. Klik met de RECHTER muisknop op een willekeurig tabblad.</t>
  </si>
  <si>
    <t>3. Gevraagd wordt welke bladen je zichtbaar wilt maken - die klik je aan</t>
  </si>
  <si>
    <t>4. Je kunt meerdere bladen eenvoudig terugzetten door de toets 'ctrl' vast te houden</t>
  </si>
  <si>
    <t>leerling 1</t>
  </si>
  <si>
    <t>leerling 9</t>
  </si>
  <si>
    <t>leerling 10</t>
  </si>
  <si>
    <t>leerling 11</t>
  </si>
  <si>
    <t>leerling 12</t>
  </si>
  <si>
    <t>leerling 13</t>
  </si>
  <si>
    <t>leerling 14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</si>
  <si>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</si>
  <si>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</si>
  <si>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</si>
  <si>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</si>
  <si>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</si>
  <si>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</si>
  <si>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</si>
  <si>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BASISAANPAK - SCHOOLNIVEAU - noteer de afspraken doorgaande lijn (schoolafspraken geldig voor iedereen)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</si>
</sst>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0.0"/>
    <numFmt numFmtId="166" formatCode="_ * #,##0.00_ ;_ * \-#,##0.00_ ;_ * \-??_ ;_ @_ "/>
    <numFmt numFmtId="167" formatCode="#,##0.0000000000000000"/>
    <numFmt numFmtId="168" formatCode="#,##0.0"/>
    <numFmt numFmtId="169" formatCode="0.0%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sz val="12"/>
      <name val="Comic Sans MS"/>
      <family val="4"/>
    </font>
    <font>
      <sz val="20"/>
      <name val="Calibri"/>
      <family val="2"/>
      <scheme val="minor"/>
    </font>
    <font>
      <sz val="12"/>
      <color theme="1"/>
      <name val="Comic Sans MS"/>
      <family val="4"/>
    </font>
    <font>
      <b/>
      <sz val="20"/>
      <name val="Comic Sans MS"/>
      <family val="4"/>
    </font>
    <font>
      <sz val="20"/>
      <name val="Comic Sans MS"/>
      <family val="4"/>
    </font>
    <font>
      <b/>
      <sz val="20"/>
      <color indexed="9"/>
      <name val="Comic Sans MS"/>
      <family val="4"/>
    </font>
    <font>
      <b/>
      <sz val="20"/>
      <color indexed="10"/>
      <name val="Arial"/>
      <family val="2"/>
    </font>
    <font>
      <sz val="11"/>
      <color rgb="FF000000"/>
      <name val="Calibri"/>
      <family val="2"/>
      <charset val="1"/>
    </font>
    <font>
      <b/>
      <sz val="14"/>
      <name val="Verdana"/>
      <family val="2"/>
    </font>
    <font>
      <b/>
      <sz val="10"/>
      <name val="Verdana Pro"/>
      <family val="2"/>
    </font>
    <font>
      <sz val="11"/>
      <name val="Arial"/>
      <family val="2"/>
    </font>
    <font>
      <sz val="20"/>
      <color rgb="FFCC00FF"/>
      <name val="Arial"/>
      <family val="2"/>
    </font>
    <font>
      <sz val="22"/>
      <color rgb="FFCC00FF"/>
      <name val="Arial"/>
      <family val="2"/>
    </font>
    <font>
      <b/>
      <sz val="20"/>
      <color rgb="FFCC00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38" fillId="0" borderId="0" applyBorder="0" applyProtection="0"/>
    <xf numFmtId="0" fontId="38" fillId="0" borderId="0"/>
    <xf numFmtId="0" fontId="1" fillId="0" borderId="0"/>
    <xf numFmtId="9" fontId="38" fillId="0" borderId="0" applyBorder="0" applyProtection="0"/>
  </cellStyleXfs>
  <cellXfs count="35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164" fontId="11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1" fillId="10" borderId="3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3" fillId="8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11" borderId="3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0" fontId="8" fillId="12" borderId="0" xfId="0" applyFont="1" applyFill="1" applyAlignment="1" applyProtection="1">
      <alignment horizontal="center"/>
      <protection locked="0"/>
    </xf>
    <xf numFmtId="9" fontId="8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9" fontId="2" fillId="0" borderId="45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2" fillId="0" borderId="14" xfId="0" applyFont="1" applyBorder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/>
    </xf>
    <xf numFmtId="0" fontId="16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26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9" fontId="14" fillId="0" borderId="63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28" fillId="0" borderId="0" xfId="1" applyFont="1"/>
    <xf numFmtId="0" fontId="31" fillId="0" borderId="0" xfId="1" applyFont="1"/>
    <xf numFmtId="0" fontId="31" fillId="0" borderId="0" xfId="1" applyFont="1" applyAlignment="1">
      <alignment horizontal="left"/>
    </xf>
    <xf numFmtId="165" fontId="31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1" fillId="0" borderId="4" xfId="1" applyFont="1" applyBorder="1" applyAlignment="1">
      <alignment horizontal="left" vertical="center"/>
    </xf>
    <xf numFmtId="0" fontId="31" fillId="0" borderId="4" xfId="1" applyFont="1" applyBorder="1" applyAlignment="1">
      <alignment vertical="center"/>
    </xf>
    <xf numFmtId="0" fontId="33" fillId="0" borderId="0" xfId="1" applyFont="1"/>
    <xf numFmtId="9" fontId="33" fillId="0" borderId="0" xfId="1" applyNumberFormat="1" applyFont="1"/>
    <xf numFmtId="9" fontId="33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34" fillId="0" borderId="0" xfId="1" applyFont="1"/>
    <xf numFmtId="0" fontId="36" fillId="20" borderId="4" xfId="1" applyFont="1" applyFill="1" applyBorder="1" applyAlignment="1" applyProtection="1">
      <alignment horizontal="center"/>
      <protection locked="0"/>
    </xf>
    <xf numFmtId="0" fontId="34" fillId="0" borderId="0" xfId="1" applyFont="1" applyAlignment="1">
      <alignment horizontal="center"/>
    </xf>
    <xf numFmtId="0" fontId="33" fillId="0" borderId="0" xfId="1" applyFont="1" applyAlignment="1">
      <alignment vertical="center"/>
    </xf>
    <xf numFmtId="0" fontId="33" fillId="17" borderId="0" xfId="1" applyFont="1" applyFill="1" applyAlignment="1">
      <alignment horizontal="center" vertical="center"/>
    </xf>
    <xf numFmtId="0" fontId="33" fillId="19" borderId="0" xfId="1" applyFont="1" applyFill="1" applyAlignment="1">
      <alignment horizontal="center" vertical="center"/>
    </xf>
    <xf numFmtId="0" fontId="33" fillId="18" borderId="0" xfId="1" applyFont="1" applyFill="1" applyAlignment="1">
      <alignment horizontal="center" vertical="center"/>
    </xf>
    <xf numFmtId="0" fontId="31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 vertical="center"/>
    </xf>
    <xf numFmtId="0" fontId="33" fillId="16" borderId="0" xfId="1" applyFont="1" applyFill="1" applyAlignment="1">
      <alignment horizontal="center" vertical="center"/>
    </xf>
    <xf numFmtId="0" fontId="33" fillId="22" borderId="0" xfId="1" applyFont="1" applyFill="1" applyAlignment="1">
      <alignment horizontal="center" vertical="center"/>
    </xf>
    <xf numFmtId="0" fontId="33" fillId="13" borderId="0" xfId="1" applyFont="1" applyFill="1" applyAlignment="1">
      <alignment horizontal="center" vertical="center"/>
    </xf>
    <xf numFmtId="0" fontId="33" fillId="15" borderId="0" xfId="1" applyFont="1" applyFill="1" applyAlignment="1">
      <alignment horizontal="center" vertical="center"/>
    </xf>
    <xf numFmtId="0" fontId="31" fillId="23" borderId="0" xfId="1" applyFont="1" applyFill="1" applyAlignment="1">
      <alignment horizontal="center" vertical="center"/>
    </xf>
    <xf numFmtId="0" fontId="32" fillId="0" borderId="0" xfId="1" applyFont="1"/>
    <xf numFmtId="0" fontId="3" fillId="0" borderId="8" xfId="1" applyFont="1" applyBorder="1" applyAlignment="1">
      <alignment vertical="center"/>
    </xf>
    <xf numFmtId="0" fontId="35" fillId="4" borderId="14" xfId="1" applyFont="1" applyFill="1" applyBorder="1" applyAlignment="1" applyProtection="1">
      <alignment horizontal="center" vertical="center"/>
      <protection locked="0"/>
    </xf>
    <xf numFmtId="0" fontId="35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35" fillId="4" borderId="7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Protection="1"/>
    <xf numFmtId="0" fontId="38" fillId="0" borderId="0" xfId="4"/>
    <xf numFmtId="168" fontId="0" fillId="0" borderId="0" xfId="3" applyNumberFormat="1" applyFont="1" applyBorder="1" applyProtection="1"/>
    <xf numFmtId="169" fontId="38" fillId="17" borderId="0" xfId="4" applyNumberFormat="1" applyFill="1"/>
    <xf numFmtId="0" fontId="38" fillId="17" borderId="0" xfId="4" applyFill="1"/>
    <xf numFmtId="169" fontId="1" fillId="17" borderId="0" xfId="5" applyNumberFormat="1" applyFill="1"/>
    <xf numFmtId="169" fontId="38" fillId="24" borderId="0" xfId="4" applyNumberFormat="1" applyFill="1"/>
    <xf numFmtId="169" fontId="1" fillId="0" borderId="0" xfId="5" applyNumberFormat="1"/>
    <xf numFmtId="9" fontId="1" fillId="17" borderId="0" xfId="5" applyNumberFormat="1" applyFill="1"/>
    <xf numFmtId="9" fontId="1" fillId="0" borderId="0" xfId="5" applyNumberFormat="1"/>
    <xf numFmtId="169" fontId="38" fillId="0" borderId="0" xfId="4" applyNumberFormat="1"/>
    <xf numFmtId="169" fontId="38" fillId="17" borderId="0" xfId="6" applyNumberFormat="1" applyFill="1"/>
    <xf numFmtId="169" fontId="38" fillId="0" borderId="0" xfId="6" applyNumberFormat="1"/>
    <xf numFmtId="0" fontId="31" fillId="16" borderId="0" xfId="1" applyFont="1" applyFill="1" applyAlignment="1">
      <alignment horizontal="center" vertical="center"/>
    </xf>
    <xf numFmtId="2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center"/>
    </xf>
    <xf numFmtId="0" fontId="39" fillId="0" borderId="0" xfId="1" applyFont="1"/>
    <xf numFmtId="0" fontId="41" fillId="0" borderId="0" xfId="0" applyFont="1"/>
    <xf numFmtId="0" fontId="44" fillId="0" borderId="0" xfId="0" applyFont="1"/>
    <xf numFmtId="164" fontId="11" fillId="2" borderId="21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21" borderId="14" xfId="1" applyFont="1" applyFill="1" applyBorder="1" applyAlignment="1">
      <alignment horizontal="center"/>
    </xf>
    <xf numFmtId="0" fontId="35" fillId="21" borderId="7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14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7" xfId="1" applyFont="1" applyBorder="1" applyAlignment="1">
      <alignment horizontal="center"/>
    </xf>
    <xf numFmtId="16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37" fillId="0" borderId="2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4" fillId="0" borderId="64" xfId="0" applyNumberFormat="1" applyFont="1" applyBorder="1" applyAlignment="1">
      <alignment horizontal="center"/>
    </xf>
    <xf numFmtId="9" fontId="40" fillId="4" borderId="68" xfId="2" applyFont="1" applyFill="1" applyBorder="1" applyAlignment="1" applyProtection="1">
      <alignment horizontal="center" vertical="center" textRotation="90"/>
    </xf>
    <xf numFmtId="0" fontId="2" fillId="2" borderId="68" xfId="1" applyFill="1" applyBorder="1" applyAlignment="1" applyProtection="1">
      <alignment vertical="top" wrapText="1"/>
      <protection locked="0"/>
    </xf>
    <xf numFmtId="0" fontId="2" fillId="0" borderId="68" xfId="1" applyBorder="1" applyAlignment="1" applyProtection="1">
      <alignment vertical="top" wrapText="1"/>
      <protection locked="0"/>
    </xf>
    <xf numFmtId="0" fontId="29" fillId="14" borderId="67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2" fillId="2" borderId="68" xfId="1" applyFill="1" applyBorder="1" applyAlignment="1" applyProtection="1">
      <alignment horizontal="center" vertical="top" wrapText="1"/>
      <protection locked="0"/>
    </xf>
    <xf numFmtId="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9" fontId="16" fillId="0" borderId="63" xfId="0" applyNumberFormat="1" applyFont="1" applyBorder="1" applyAlignment="1">
      <alignment horizontal="center" vertical="center"/>
    </xf>
    <xf numFmtId="9" fontId="16" fillId="0" borderId="47" xfId="0" applyNumberFormat="1" applyFont="1" applyBorder="1" applyAlignment="1">
      <alignment horizontal="center" vertical="center"/>
    </xf>
    <xf numFmtId="9" fontId="16" fillId="0" borderId="48" xfId="0" applyNumberFormat="1" applyFont="1" applyBorder="1" applyAlignment="1">
      <alignment horizontal="center" vertical="center"/>
    </xf>
    <xf numFmtId="9" fontId="16" fillId="0" borderId="64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/>
    </xf>
    <xf numFmtId="9" fontId="16" fillId="0" borderId="49" xfId="0" applyNumberFormat="1" applyFont="1" applyBorder="1" applyAlignment="1">
      <alignment horizontal="center" vertical="center"/>
    </xf>
    <xf numFmtId="9" fontId="2" fillId="0" borderId="69" xfId="0" applyNumberFormat="1" applyFont="1" applyBorder="1" applyAlignment="1">
      <alignment horizontal="center" vertical="center"/>
    </xf>
    <xf numFmtId="0" fontId="0" fillId="2" borderId="66" xfId="0" applyFill="1" applyBorder="1" applyAlignment="1">
      <alignment horizont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5" borderId="33" xfId="0" applyFont="1" applyFill="1" applyBorder="1" applyAlignment="1">
      <alignment horizontal="center" vertical="center"/>
    </xf>
    <xf numFmtId="9" fontId="0" fillId="5" borderId="33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</cellXfs>
  <cellStyles count="7">
    <cellStyle name="Komma 2" xfId="3" xr:uid="{8CF7A086-9FAD-4800-9D9A-9829F09FA04F}"/>
    <cellStyle name="Procent 2" xfId="2" xr:uid="{45BFDE26-E579-443D-9CE1-D559AC186A44}"/>
    <cellStyle name="Procent 2 2" xfId="6" xr:uid="{7D18812F-F47F-4671-A4C6-B2F5C6B17A69}"/>
    <cellStyle name="Standaard" xfId="0" builtinId="0"/>
    <cellStyle name="Standaard 2" xfId="1" xr:uid="{4AED2E0C-3EF0-4D2B-8BCE-621C20339FCA}"/>
    <cellStyle name="Standaard 2 2" xfId="4" xr:uid="{F0088D56-7EE8-4562-B8EA-9A6CF0286683}"/>
    <cellStyle name="Standaard 3" xfId="5" xr:uid="{3EA2CBDA-703D-4789-A853-1C00B4074097}"/>
  </cellStyles>
  <dxfs count="642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51"/>
        </patternFill>
      </fill>
    </dxf>
    <dxf>
      <fill>
        <patternFill>
          <bgColor indexed="31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</dxfs>
  <tableStyles count="0" defaultTableStyle="TableStyleMedium2" defaultPivotStyle="PivotStyleLight16"/>
  <colors>
    <mruColors>
      <color rgb="FFFFFFCC"/>
      <color rgb="FFCCCCFF"/>
      <color rgb="FFCC00FF"/>
      <color rgb="FF66FF66"/>
      <color rgb="FFBBF52B"/>
      <color rgb="FFFF00FF"/>
      <color rgb="FFFFFF00"/>
      <color rgb="FFFF99CC"/>
      <color rgb="FFFF99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22/10/relationships/richValueRel" Target="richData/richValueRel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551-4FC5-A981-96EEFD829970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2551-4FC5-A981-96EEFD829970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2551-4FC5-A981-96EEFD829970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51-4FC5-A981-96EEFD8299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2551-4FC5-A981-96EEFD829970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2551-4FC5-A981-96EEFD829970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2551-4FC5-A981-96EEFD82997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'OP-3'!$K$12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C-49ED-B198-2A0A9388F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ED-B198-2A0A9388FA82}"/>
            </c:ext>
          </c:extLst>
        </c:ser>
        <c:ser>
          <c:idx val="1"/>
          <c:order val="1"/>
          <c:tx>
            <c:strRef>
              <c:f>'OP-3'!$L$12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C-49ED-B198-2A0A9388FA82}"/>
            </c:ext>
          </c:extLst>
        </c:ser>
        <c:ser>
          <c:idx val="2"/>
          <c:order val="2"/>
          <c:tx>
            <c:strRef>
              <c:f>'OP-3'!$M$12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C-49ED-B198-2A0A9388FA82}"/>
            </c:ext>
          </c:extLst>
        </c:ser>
        <c:ser>
          <c:idx val="3"/>
          <c:order val="3"/>
          <c:tx>
            <c:strRef>
              <c:f>'OP-3'!$N$12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C-49ED-B198-2A0A9388FA82}"/>
            </c:ext>
          </c:extLst>
        </c:ser>
        <c:ser>
          <c:idx val="4"/>
          <c:order val="4"/>
          <c:tx>
            <c:strRef>
              <c:f>'OP-3'!$O$12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BC-49ED-B198-2A0A9388FA82}"/>
            </c:ext>
          </c:extLst>
        </c:ser>
        <c:ser>
          <c:idx val="5"/>
          <c:order val="5"/>
          <c:tx>
            <c:strRef>
              <c:f>'OP-3'!$P$12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9ED-B198-2A0A9388FA82}"/>
              </c:ext>
            </c:extLst>
          </c:dPt>
          <c:val>
            <c:numRef>
              <c:f>'OP-3'!$P$14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'OP-3'!$Q$12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C-49ED-B198-2A0A9388FA82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C-49ED-B198-2A0A9388FA82}"/>
            </c:ext>
          </c:extLst>
        </c:ser>
        <c:ser>
          <c:idx val="7"/>
          <c:order val="7"/>
          <c:tx>
            <c:strRef>
              <c:f>'OP-3'!$R$12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BC-49ED-B198-2A0A9388FA82}"/>
              </c:ext>
            </c:extLst>
          </c:dPt>
          <c:val>
            <c:numRef>
              <c:f>'OP-3'!$R$14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C-49ED-B198-2A0A9388FA82}"/>
            </c:ext>
          </c:extLst>
        </c:ser>
        <c:ser>
          <c:idx val="8"/>
          <c:order val="8"/>
          <c:tx>
            <c:strRef>
              <c:f>'OP-3'!$S$12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'OP-3'!$S$14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0.9</c:v>
                </c:pt>
                <c:pt idx="6">
                  <c:v>0.70000000000000007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0.36666666666666664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3BD-411A-939F-69E1481CFAB8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13BD-411A-939F-69E1481CFAB8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13BD-411A-939F-69E1481CFAB8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BD-411A-939F-69E1481CFA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13BD-411A-939F-69E1481CFAB8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13BD-411A-939F-69E1481CFAB8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13BD-411A-939F-69E1481CFA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'OP-4'!$K$12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38E-9127-9D1D2D4C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'OP-4'!$K$14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38E-9127-9D1D2D4C3691}"/>
            </c:ext>
          </c:extLst>
        </c:ser>
        <c:ser>
          <c:idx val="1"/>
          <c:order val="1"/>
          <c:tx>
            <c:strRef>
              <c:f>'OP-4'!$L$12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38E-9127-9D1D2D4C3691}"/>
            </c:ext>
          </c:extLst>
        </c:ser>
        <c:ser>
          <c:idx val="2"/>
          <c:order val="2"/>
          <c:tx>
            <c:strRef>
              <c:f>'OP-4'!$M$12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38E-9127-9D1D2D4C3691}"/>
            </c:ext>
          </c:extLst>
        </c:ser>
        <c:ser>
          <c:idx val="3"/>
          <c:order val="3"/>
          <c:tx>
            <c:strRef>
              <c:f>'OP-4'!$N$12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38E-9127-9D1D2D4C3691}"/>
            </c:ext>
          </c:extLst>
        </c:ser>
        <c:ser>
          <c:idx val="4"/>
          <c:order val="4"/>
          <c:tx>
            <c:strRef>
              <c:f>'OP-4'!$O$12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38E-9127-9D1D2D4C3691}"/>
            </c:ext>
          </c:extLst>
        </c:ser>
        <c:ser>
          <c:idx val="5"/>
          <c:order val="5"/>
          <c:tx>
            <c:strRef>
              <c:f>'OP-4'!$P$12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4-438E-9127-9D1D2D4C3691}"/>
              </c:ext>
            </c:extLst>
          </c:dPt>
          <c:val>
            <c:numRef>
              <c:f>'OP-4'!$P$14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4-438E-9127-9D1D2D4C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'OP-4'!$Q$12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4-438E-9127-9D1D2D4C3691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'OP-4'!$Q$14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4-438E-9127-9D1D2D4C3691}"/>
            </c:ext>
          </c:extLst>
        </c:ser>
        <c:ser>
          <c:idx val="7"/>
          <c:order val="7"/>
          <c:tx>
            <c:strRef>
              <c:f>'OP-4'!$R$12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4-438E-9127-9D1D2D4C3691}"/>
              </c:ext>
            </c:extLst>
          </c:dPt>
          <c:val>
            <c:numRef>
              <c:f>'OP-4'!$R$14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34-438E-9127-9D1D2D4C3691}"/>
            </c:ext>
          </c:extLst>
        </c:ser>
        <c:ser>
          <c:idx val="8"/>
          <c:order val="8"/>
          <c:tx>
            <c:strRef>
              <c:f>'OP-4'!$S$12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'OP-4'!$S$14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8-43DD-B0A6-986BCC28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0.875</c:v>
                </c:pt>
                <c:pt idx="1">
                  <c:v>0.75</c:v>
                </c:pt>
                <c:pt idx="2">
                  <c:v>0.875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0.21875</c:v>
                </c:pt>
                <c:pt idx="1">
                  <c:v>0.21875</c:v>
                </c:pt>
                <c:pt idx="2">
                  <c:v>0.34375</c:v>
                </c:pt>
                <c:pt idx="3">
                  <c:v>9.375E-2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B1-459B-B889-68D87FEE0C17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97B1-459B-B889-68D87FEE0C17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97B1-459B-B889-68D87FEE0C17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1-459B-B889-68D87FEE0C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97B1-459B-B889-68D87FEE0C17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97B1-459B-B889-68D87FEE0C17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97B1-459B-B889-68D87FEE0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'OP-5'!$K$12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95-BCC9-A17DE1A53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'OP-5'!$K$14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B95-BCC9-A17DE1A53BFB}"/>
            </c:ext>
          </c:extLst>
        </c:ser>
        <c:ser>
          <c:idx val="1"/>
          <c:order val="1"/>
          <c:tx>
            <c:strRef>
              <c:f>'OP-5'!$L$12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B95-BCC9-A17DE1A53BFB}"/>
            </c:ext>
          </c:extLst>
        </c:ser>
        <c:ser>
          <c:idx val="2"/>
          <c:order val="2"/>
          <c:tx>
            <c:strRef>
              <c:f>'OP-5'!$M$12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B95-BCC9-A17DE1A53BFB}"/>
            </c:ext>
          </c:extLst>
        </c:ser>
        <c:ser>
          <c:idx val="3"/>
          <c:order val="3"/>
          <c:tx>
            <c:strRef>
              <c:f>'OP-5'!$N$12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8-4B95-BCC9-A17DE1A53BFB}"/>
            </c:ext>
          </c:extLst>
        </c:ser>
        <c:ser>
          <c:idx val="4"/>
          <c:order val="4"/>
          <c:tx>
            <c:strRef>
              <c:f>'OP-5'!$O$12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8-4B95-BCC9-A17DE1A53BFB}"/>
            </c:ext>
          </c:extLst>
        </c:ser>
        <c:ser>
          <c:idx val="5"/>
          <c:order val="5"/>
          <c:tx>
            <c:strRef>
              <c:f>'OP-5'!$P$12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8-4B95-BCC9-A17DE1A53BFB}"/>
              </c:ext>
            </c:extLst>
          </c:dPt>
          <c:val>
            <c:numRef>
              <c:f>'OP-5'!$P$14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'OP-5'!$Q$12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B95-BCC9-A17DE1A53BFB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'OP-5'!$Q$14</c:f>
              <c:numCache>
                <c:formatCode>0.00</c:formatCode>
                <c:ptCount val="1"/>
                <c:pt idx="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8-4B95-BCC9-A17DE1A53BFB}"/>
            </c:ext>
          </c:extLst>
        </c:ser>
        <c:ser>
          <c:idx val="7"/>
          <c:order val="7"/>
          <c:tx>
            <c:strRef>
              <c:f>'OP-5'!$R$12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C8-4B95-BCC9-A17DE1A53BFB}"/>
              </c:ext>
            </c:extLst>
          </c:dPt>
          <c:val>
            <c:numRef>
              <c:f>'OP-5'!$R$14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8-4B95-BCC9-A17DE1A53BFB}"/>
            </c:ext>
          </c:extLst>
        </c:ser>
        <c:ser>
          <c:idx val="8"/>
          <c:order val="8"/>
          <c:tx>
            <c:strRef>
              <c:f>'OP-5'!$S$12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'OP-5'!$S$14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0.61538461538461542</c:v>
                </c:pt>
                <c:pt idx="1">
                  <c:v>0.84615384615384615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BF-42BC-B230-7BC0F4933F49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72BF-42BC-B230-7BC0F4933F49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72BF-42BC-B230-7BC0F4933F49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F-42BC-B230-7BC0F4933F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72BF-42BC-B230-7BC0F4933F49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72BF-42BC-B230-7BC0F4933F49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72BF-42BC-B230-7BC0F4933F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'OP-6'!$K$12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C2D-A029-FBF089335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3-4C2D-A029-FBF08933552A}"/>
            </c:ext>
          </c:extLst>
        </c:ser>
        <c:ser>
          <c:idx val="1"/>
          <c:order val="1"/>
          <c:tx>
            <c:strRef>
              <c:f>'OP-6'!$L$12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3-4C2D-A029-FBF08933552A}"/>
            </c:ext>
          </c:extLst>
        </c:ser>
        <c:ser>
          <c:idx val="2"/>
          <c:order val="2"/>
          <c:tx>
            <c:strRef>
              <c:f>'OP-6'!$M$12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'OP-6'!$M$14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3-4C2D-A029-FBF08933552A}"/>
            </c:ext>
          </c:extLst>
        </c:ser>
        <c:ser>
          <c:idx val="3"/>
          <c:order val="3"/>
          <c:tx>
            <c:strRef>
              <c:f>'OP-6'!$N$12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3-4C2D-A029-FBF08933552A}"/>
            </c:ext>
          </c:extLst>
        </c:ser>
        <c:ser>
          <c:idx val="4"/>
          <c:order val="4"/>
          <c:tx>
            <c:strRef>
              <c:f>'OP-6'!$O$12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3-4C2D-A029-FBF08933552A}"/>
            </c:ext>
          </c:extLst>
        </c:ser>
        <c:ser>
          <c:idx val="5"/>
          <c:order val="5"/>
          <c:tx>
            <c:strRef>
              <c:f>'OP-6'!$P$12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3-4C2D-A029-FBF08933552A}"/>
              </c:ext>
            </c:extLst>
          </c:dPt>
          <c:val>
            <c:numRef>
              <c:f>'OP-6'!$P$14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'OP-6'!$Q$12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83-4C2D-A029-FBF08933552A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'OP-6'!$Q$14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83-4C2D-A029-FBF08933552A}"/>
            </c:ext>
          </c:extLst>
        </c:ser>
        <c:ser>
          <c:idx val="7"/>
          <c:order val="7"/>
          <c:tx>
            <c:strRef>
              <c:f>'OP-6'!$R$12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3-4C2D-A029-FBF08933552A}"/>
              </c:ext>
            </c:extLst>
          </c:dPt>
          <c:val>
            <c:numRef>
              <c:f>'OP-6'!$R$14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3-4C2D-A029-FBF08933552A}"/>
            </c:ext>
          </c:extLst>
        </c:ser>
        <c:ser>
          <c:idx val="8"/>
          <c:order val="8"/>
          <c:tx>
            <c:strRef>
              <c:f>'OP-6'!$S$12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'OP-6'!$S$14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0.625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0.8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0.21666666666666665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0C-4B38-B1C8-D61E6FA377AA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BE0C-4B38-B1C8-D61E6FA377AA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BE0C-4B38-B1C8-D61E6FA377AA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0C-4B38-B1C8-D61E6FA37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BE0C-4B38-B1C8-D61E6FA377AA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BE0C-4B38-B1C8-D61E6FA377AA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BE0C-4B38-B1C8-D61E6FA377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'OP-7'!$K$12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E-4E67-9E10-27B34CAB8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E67-9E10-27B34CAB86B3}"/>
            </c:ext>
          </c:extLst>
        </c:ser>
        <c:ser>
          <c:idx val="1"/>
          <c:order val="1"/>
          <c:tx>
            <c:strRef>
              <c:f>'OP-7'!$L$12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'OP-7'!$L$14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E67-9E10-27B34CAB86B3}"/>
            </c:ext>
          </c:extLst>
        </c:ser>
        <c:ser>
          <c:idx val="2"/>
          <c:order val="2"/>
          <c:tx>
            <c:strRef>
              <c:f>'OP-7'!$M$12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E67-9E10-27B34CAB86B3}"/>
            </c:ext>
          </c:extLst>
        </c:ser>
        <c:ser>
          <c:idx val="3"/>
          <c:order val="3"/>
          <c:tx>
            <c:strRef>
              <c:f>'OP-7'!$N$12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E-4E67-9E10-27B34CAB86B3}"/>
            </c:ext>
          </c:extLst>
        </c:ser>
        <c:ser>
          <c:idx val="4"/>
          <c:order val="4"/>
          <c:tx>
            <c:strRef>
              <c:f>'OP-7'!$O$12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E-4E67-9E10-27B34CAB86B3}"/>
            </c:ext>
          </c:extLst>
        </c:ser>
        <c:ser>
          <c:idx val="5"/>
          <c:order val="5"/>
          <c:tx>
            <c:strRef>
              <c:f>'OP-7'!$P$12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E-4E67-9E10-27B34CAB86B3}"/>
              </c:ext>
            </c:extLst>
          </c:dPt>
          <c:val>
            <c:numRef>
              <c:f>'OP-7'!$P$14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'OP-7'!$Q$12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E-4E67-9E10-27B34CAB86B3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'OP-7'!$Q$14</c:f>
              <c:numCache>
                <c:formatCode>0.00</c:formatCode>
                <c:ptCount val="1"/>
                <c:pt idx="0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4E-4E67-9E10-27B34CAB86B3}"/>
            </c:ext>
          </c:extLst>
        </c:ser>
        <c:ser>
          <c:idx val="7"/>
          <c:order val="7"/>
          <c:tx>
            <c:strRef>
              <c:f>'OP-7'!$R$12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84E-4E67-9E10-27B34CAB86B3}"/>
              </c:ext>
            </c:extLst>
          </c:dPt>
          <c:val>
            <c:numRef>
              <c:f>'OP-7'!$R$14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4E-4E67-9E10-27B34CAB86B3}"/>
            </c:ext>
          </c:extLst>
        </c:ser>
        <c:ser>
          <c:idx val="8"/>
          <c:order val="8"/>
          <c:tx>
            <c:strRef>
              <c:f>'OP-7'!$S$12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'OP-7'!$S$14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0.54545454545454541</c:v>
                </c:pt>
                <c:pt idx="2">
                  <c:v>0.72727272727272729</c:v>
                </c:pt>
                <c:pt idx="3">
                  <c:v>0</c:v>
                </c:pt>
                <c:pt idx="4">
                  <c:v>0</c:v>
                </c:pt>
                <c:pt idx="5">
                  <c:v>0.90909090909090906</c:v>
                </c:pt>
                <c:pt idx="6">
                  <c:v>0.72727272727272729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</c:v>
                </c:pt>
                <c:pt idx="2">
                  <c:v>0.3666666666666667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17-423B-B06A-E0C97ADA12BF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EA17-423B-B06A-E0C97ADA12BF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EA17-423B-B06A-E0C97ADA12BF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7-423B-B06A-E0C97ADA12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EA17-423B-B06A-E0C97ADA12BF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EA17-423B-B06A-E0C97ADA12BF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EA17-423B-B06A-E0C97ADA12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'OP-8'!$K$12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C-46A1-BA76-BD88BE18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6A1-BA76-BD88BE18DE4C}"/>
            </c:ext>
          </c:extLst>
        </c:ser>
        <c:ser>
          <c:idx val="1"/>
          <c:order val="1"/>
          <c:tx>
            <c:strRef>
              <c:f>'OP-8'!$L$12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C-46A1-BA76-BD88BE18DE4C}"/>
            </c:ext>
          </c:extLst>
        </c:ser>
        <c:ser>
          <c:idx val="2"/>
          <c:order val="2"/>
          <c:tx>
            <c:strRef>
              <c:f>'OP-8'!$M$12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'OP-8'!$M$14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C-46A1-BA76-BD88BE18DE4C}"/>
            </c:ext>
          </c:extLst>
        </c:ser>
        <c:ser>
          <c:idx val="3"/>
          <c:order val="3"/>
          <c:tx>
            <c:strRef>
              <c:f>'OP-8'!$N$12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C-46A1-BA76-BD88BE18DE4C}"/>
            </c:ext>
          </c:extLst>
        </c:ser>
        <c:ser>
          <c:idx val="4"/>
          <c:order val="4"/>
          <c:tx>
            <c:strRef>
              <c:f>'OP-8'!$O$12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00FF"/>
                </a:gs>
                <a:gs pos="100000">
                  <a:srgbClr val="FF00FF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C-46A1-BA76-BD88BE18DE4C}"/>
            </c:ext>
          </c:extLst>
        </c:ser>
        <c:ser>
          <c:idx val="5"/>
          <c:order val="5"/>
          <c:tx>
            <c:strRef>
              <c:f>'OP-8'!$P$12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FF0000"/>
                  </a:gs>
                  <a:gs pos="100000">
                    <a:srgbClr val="FF0000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C-46A1-BA76-BD88BE18DE4C}"/>
              </c:ext>
            </c:extLst>
          </c:dPt>
          <c:val>
            <c:numRef>
              <c:f>'OP-8'!$P$14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'OP-8'!$Q$12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4C-46A1-BA76-BD88BE18DE4C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'OP-8'!$Q$14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C-46A1-BA76-BD88BE18DE4C}"/>
            </c:ext>
          </c:extLst>
        </c:ser>
        <c:ser>
          <c:idx val="7"/>
          <c:order val="7"/>
          <c:tx>
            <c:strRef>
              <c:f>'OP-8'!$R$12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C-46A1-BA76-BD88BE18DE4C}"/>
              </c:ext>
            </c:extLst>
          </c:dPt>
          <c:val>
            <c:numRef>
              <c:f>'OP-8'!$R$14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C-46A1-BA76-BD88BE18DE4C}"/>
            </c:ext>
          </c:extLst>
        </c:ser>
        <c:ser>
          <c:idx val="8"/>
          <c:order val="8"/>
          <c:tx>
            <c:strRef>
              <c:f>'OP-8'!$S$12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'OP-8'!$S$14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lad verbergen'!A1"/><Relationship Id="rId2" Type="http://schemas.openxmlformats.org/officeDocument/2006/relationships/image" Target="../media/image7.jpeg"/><Relationship Id="rId1" Type="http://schemas.openxmlformats.org/officeDocument/2006/relationships/hyperlink" Target="#'de indicatoren'!A1"/><Relationship Id="rId6" Type="http://schemas.openxmlformats.org/officeDocument/2006/relationships/image" Target="../media/image8.png"/><Relationship Id="rId5" Type="http://schemas.openxmlformats.org/officeDocument/2006/relationships/hyperlink" Target="#leerrendement!A1"/><Relationship Id="rId4" Type="http://schemas.openxmlformats.org/officeDocument/2006/relationships/hyperlink" Target="#'DOORGAANDE LIJ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507937</xdr:colOff>
      <xdr:row>57</xdr:row>
      <xdr:rowOff>160020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22886E04-F5BE-BC88-C8E4-B3FE10DF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"/>
          <a:ext cx="6603937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121211</xdr:colOff>
      <xdr:row>57</xdr:row>
      <xdr:rowOff>160020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1EE8275A-9E31-D111-22E3-C1098B7F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67640"/>
          <a:ext cx="6217211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9867</xdr:colOff>
      <xdr:row>25</xdr:row>
      <xdr:rowOff>108975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08BDC-D7F7-8A9D-BBC2-E5288CCA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07820"/>
          <a:ext cx="2448267" cy="2791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0</xdr:colOff>
      <xdr:row>10</xdr:row>
      <xdr:rowOff>137160</xdr:rowOff>
    </xdr:from>
    <xdr:to>
      <xdr:col>12</xdr:col>
      <xdr:colOff>600414</xdr:colOff>
      <xdr:row>29</xdr:row>
      <xdr:rowOff>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83BC00-2CA8-8DF8-CF59-A4A0130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316480"/>
          <a:ext cx="2429214" cy="3048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</xdr:colOff>
      <xdr:row>23</xdr:row>
      <xdr:rowOff>68580</xdr:rowOff>
    </xdr:from>
    <xdr:to>
      <xdr:col>4</xdr:col>
      <xdr:colOff>601980</xdr:colOff>
      <xdr:row>25</xdr:row>
      <xdr:rowOff>91440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F9AD46AE-6227-D8E1-BE9D-2E4BB4EB90FC}"/>
            </a:ext>
          </a:extLst>
        </xdr:cNvPr>
        <xdr:cNvSpPr/>
      </xdr:nvSpPr>
      <xdr:spPr>
        <a:xfrm>
          <a:off x="1242060" y="433578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15240</xdr:colOff>
      <xdr:row>26</xdr:row>
      <xdr:rowOff>144780</xdr:rowOff>
    </xdr:from>
    <xdr:to>
      <xdr:col>12</xdr:col>
      <xdr:colOff>594360</xdr:colOff>
      <xdr:row>29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E42292D-685F-489B-8FC0-7F31B27E2D54}"/>
            </a:ext>
          </a:extLst>
        </xdr:cNvPr>
        <xdr:cNvSpPr/>
      </xdr:nvSpPr>
      <xdr:spPr>
        <a:xfrm>
          <a:off x="5501640" y="500634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13</xdr:col>
      <xdr:colOff>228600</xdr:colOff>
      <xdr:row>10</xdr:row>
      <xdr:rowOff>137160</xdr:rowOff>
    </xdr:from>
    <xdr:to>
      <xdr:col>20</xdr:col>
      <xdr:colOff>248248</xdr:colOff>
      <xdr:row>24</xdr:row>
      <xdr:rowOff>143203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062BD4-27E7-4BE6-E657-96488C2C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2316480"/>
          <a:ext cx="4286848" cy="23530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89647</xdr:rowOff>
    </xdr:from>
    <xdr:to>
      <xdr:col>5</xdr:col>
      <xdr:colOff>412377</xdr:colOff>
      <xdr:row>43</xdr:row>
      <xdr:rowOff>134471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6FB9F612-2175-4A8C-8ACF-7A03BBAB3C8C}"/>
            </a:ext>
          </a:extLst>
        </xdr:cNvPr>
        <xdr:cNvSpPr/>
      </xdr:nvSpPr>
      <xdr:spPr>
        <a:xfrm>
          <a:off x="381000" y="5558118"/>
          <a:ext cx="3070412" cy="1918447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r>
            <a:rPr lang="nl-NL" sz="1400" baseline="0"/>
            <a:t>Maar ze geven wel een mooi beeld van het totaalplaatje van de school.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232335</xdr:colOff>
      <xdr:row>1</xdr:row>
      <xdr:rowOff>36227</xdr:rowOff>
    </xdr:from>
    <xdr:to>
      <xdr:col>21</xdr:col>
      <xdr:colOff>276785</xdr:colOff>
      <xdr:row>17</xdr:row>
      <xdr:rowOff>44824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3A6B7847-2545-4DB2-BFA3-0AF01DF7D815}"/>
            </a:ext>
          </a:extLst>
        </xdr:cNvPr>
        <xdr:cNvSpPr/>
      </xdr:nvSpPr>
      <xdr:spPr>
        <a:xfrm>
          <a:off x="6928970" y="224486"/>
          <a:ext cx="6140450" cy="2733867"/>
        </a:xfrm>
        <a:prstGeom prst="roundRect">
          <a:avLst/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1. 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r>
            <a:rPr lang="nl-NL" sz="1400" b="0" baseline="0"/>
            <a:t>&gt;&gt; Maak afspraken op schoolniveau  </a:t>
          </a:r>
        </a:p>
        <a:p>
          <a:pPr algn="l"/>
          <a:r>
            <a:rPr lang="nl-NL" sz="1400" b="0" baseline="0"/>
            <a:t>     op basis van een </a:t>
          </a:r>
          <a:r>
            <a:rPr lang="nl-NL" sz="1400" b="1" u="sng" baseline="0"/>
            <a:t>doorgaande lijn</a:t>
          </a:r>
          <a:r>
            <a:rPr lang="nl-NL" sz="1400" b="0" baseline="0"/>
            <a:t>.</a:t>
          </a:r>
        </a:p>
        <a:p>
          <a:pPr algn="l"/>
          <a:r>
            <a:rPr lang="nl-NL" sz="1400" b="0" baseline="0"/>
            <a:t>&gt;&gt; Noteer de aanpak op schoolniveau 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2. VERVOLGENS: AANPAK OP GROEPSNIVEAU</a:t>
          </a:r>
        </a:p>
        <a:p>
          <a:pPr algn="l"/>
          <a:r>
            <a:rPr lang="nl-NL" sz="1400" b="0" baseline="0"/>
            <a:t>&gt;&gt; Basisaanpak &gt;&gt; lees het witte vak hiernaast.</a:t>
          </a:r>
          <a:endParaRPr lang="nl-NL" sz="1400" b="1" baseline="0"/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Intensieve en verrijkte aanpak.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44</xdr:row>
      <xdr:rowOff>8964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929B6444-AAF4-48E7-B87F-D00F29106412}"/>
            </a:ext>
          </a:extLst>
        </xdr:cNvPr>
        <xdr:cNvSpPr/>
      </xdr:nvSpPr>
      <xdr:spPr>
        <a:xfrm>
          <a:off x="10138335" y="3112614"/>
          <a:ext cx="2933700" cy="4408774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46691</xdr:colOff>
      <xdr:row>9</xdr:row>
      <xdr:rowOff>52295</xdr:rowOff>
    </xdr:from>
    <xdr:to>
      <xdr:col>20</xdr:col>
      <xdr:colOff>592791</xdr:colOff>
      <xdr:row>15</xdr:row>
      <xdr:rowOff>138954</xdr:rowOff>
    </xdr:to>
    <xdr:sp macro="" textlink="">
      <xdr:nvSpPr>
        <xdr:cNvPr id="6" name="Rechthoek: afgeronde hoe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D4DFF-A7B1-4892-A0B6-D05636AB619C}"/>
            </a:ext>
          </a:extLst>
        </xdr:cNvPr>
        <xdr:cNvSpPr/>
      </xdr:nvSpPr>
      <xdr:spPr>
        <a:xfrm>
          <a:off x="11010526" y="1603189"/>
          <a:ext cx="17653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ctr"/>
          <a:r>
            <a:rPr lang="nl-NL" sz="1400"/>
            <a:t>INDICATOREN</a:t>
          </a:r>
        </a:p>
        <a:p>
          <a:pPr algn="ctr"/>
          <a:r>
            <a:rPr lang="nl-NL" sz="1400" b="1" u="sng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35859</xdr:colOff>
      <xdr:row>32</xdr:row>
      <xdr:rowOff>89646</xdr:rowOff>
    </xdr:from>
    <xdr:to>
      <xdr:col>11</xdr:col>
      <xdr:colOff>71718</xdr:colOff>
      <xdr:row>43</xdr:row>
      <xdr:rowOff>161365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69E22F82-EF5E-4495-AB78-47EEE9960B71}"/>
            </a:ext>
          </a:extLst>
        </xdr:cNvPr>
        <xdr:cNvSpPr/>
      </xdr:nvSpPr>
      <xdr:spPr>
        <a:xfrm>
          <a:off x="3684494" y="5558117"/>
          <a:ext cx="3083859" cy="1945342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233083</xdr:colOff>
      <xdr:row>18</xdr:row>
      <xdr:rowOff>32865</xdr:rowOff>
    </xdr:from>
    <xdr:to>
      <xdr:col>16</xdr:col>
      <xdr:colOff>234950</xdr:colOff>
      <xdr:row>43</xdr:row>
      <xdr:rowOff>143435</xdr:rowOff>
    </xdr:to>
    <xdr:sp macro="" textlink="">
      <xdr:nvSpPr>
        <xdr:cNvPr id="8" name="Tekstballon: rechthoek met afgeronde hoeken 7">
          <a:extLst>
            <a:ext uri="{FF2B5EF4-FFF2-40B4-BE49-F238E27FC236}">
              <a16:creationId xmlns:a16="http://schemas.microsoft.com/office/drawing/2014/main" id="{270633D3-B629-4631-8006-75820EA1E9D7}"/>
            </a:ext>
          </a:extLst>
        </xdr:cNvPr>
        <xdr:cNvSpPr/>
      </xdr:nvSpPr>
      <xdr:spPr>
        <a:xfrm>
          <a:off x="6929718" y="3116724"/>
          <a:ext cx="3049867" cy="4368805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 (rode kopjes = een optie).</a:t>
          </a:r>
        </a:p>
        <a:p>
          <a:pPr algn="l"/>
          <a:endParaRPr lang="nl-NL" sz="1400" baseline="0"/>
        </a:p>
        <a:p>
          <a:pPr algn="l"/>
          <a:r>
            <a:rPr lang="nl-NL" sz="1400" b="1" baseline="0"/>
            <a:t>NOTEER OP TABBLAD TOTAAL:</a:t>
          </a:r>
        </a:p>
        <a:p>
          <a:pPr algn="l"/>
          <a:r>
            <a:rPr lang="nl-NL" sz="1400" b="1" baseline="0"/>
            <a:t>1. TEVREDENHEIDSSCORE:</a:t>
          </a:r>
        </a:p>
        <a:p>
          <a:pPr algn="l"/>
          <a:r>
            <a:rPr lang="nl-NL" sz="1400" baseline="0"/>
            <a:t>een inschatting van het percen-tage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r>
            <a:rPr lang="nl-NL" sz="1400" b="1"/>
            <a:t>2.</a:t>
          </a:r>
          <a:r>
            <a:rPr lang="nl-NL" sz="1400" b="1" baseline="0"/>
            <a:t> </a:t>
          </a:r>
          <a:r>
            <a:rPr lang="nl-NL" sz="1400" b="1"/>
            <a:t>SIGNAALSCORE </a:t>
          </a:r>
          <a:r>
            <a:rPr lang="nl-NL" sz="1400"/>
            <a:t>(Schoolweging): </a:t>
          </a:r>
          <a:endParaRPr lang="nl-NL" sz="1400" baseline="0"/>
        </a:p>
        <a:p>
          <a:pPr algn="l"/>
          <a:r>
            <a:rPr lang="nl-NL" sz="1400" baseline="0"/>
            <a:t>een optie. Scores zie je terug in de overzichten per leerling (de OP's) = de rode Signaal-lijn.</a:t>
          </a:r>
          <a:endParaRPr lang="nl-NL" sz="1400"/>
        </a:p>
      </xdr:txBody>
    </xdr:sp>
    <xdr:clientData/>
  </xdr:two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9" name="Afbeelding 8">
          <a:extLst>
            <a:ext uri="{FF2B5EF4-FFF2-40B4-BE49-F238E27FC236}">
              <a16:creationId xmlns:a16="http://schemas.microsoft.com/office/drawing/2014/main" id="{8A41D9BF-E47B-46C0-BE12-AE916F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436" y="3367741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457200</xdr:colOff>
      <xdr:row>1</xdr:row>
      <xdr:rowOff>44822</xdr:rowOff>
    </xdr:from>
    <xdr:to>
      <xdr:col>27</xdr:col>
      <xdr:colOff>152400</xdr:colOff>
      <xdr:row>43</xdr:row>
      <xdr:rowOff>152400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96202EFD-4619-4055-8150-8345F1C1CD82}"/>
            </a:ext>
          </a:extLst>
        </xdr:cNvPr>
        <xdr:cNvSpPr/>
      </xdr:nvSpPr>
      <xdr:spPr>
        <a:xfrm>
          <a:off x="13249835" y="233081"/>
          <a:ext cx="3352800" cy="7261413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ORGANISATIE BASISAANPAK</a:t>
          </a:r>
        </a:p>
        <a:p>
          <a:pPr algn="l"/>
          <a:endParaRPr lang="nl-NL" sz="1400" b="1">
            <a:solidFill>
              <a:srgbClr val="CC00FF"/>
            </a:solidFill>
          </a:endParaRPr>
        </a:p>
        <a:p>
          <a:pPr algn="l"/>
          <a:r>
            <a:rPr lang="nl-NL" sz="1400" b="0">
              <a:solidFill>
                <a:srgbClr val="CC00FF"/>
              </a:solidFill>
            </a:rPr>
            <a:t>Resultaten</a:t>
          </a:r>
          <a:r>
            <a:rPr lang="nl-NL" sz="1400" b="0" baseline="0">
              <a:solidFill>
                <a:srgbClr val="CC00FF"/>
              </a:solidFill>
            </a:rPr>
            <a:t> scoren </a:t>
          </a:r>
        </a:p>
        <a:p>
          <a:pPr algn="l"/>
          <a:r>
            <a:rPr lang="nl-NL" sz="2800" b="1" baseline="0">
              <a:solidFill>
                <a:srgbClr val="CC00FF"/>
              </a:solidFill>
            </a:rPr>
            <a:t>op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doorgaan met de gekozen aanpak.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boven</a:t>
          </a:r>
          <a:r>
            <a:rPr lang="nl-NL" sz="1400" b="1" baseline="0">
              <a:solidFill>
                <a:srgbClr val="CC00FF"/>
              </a:solidFill>
            </a:rPr>
            <a:t> de tevredenheidsscore: 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naast de basisinstructie vraagt de aanpak om een  hoger niveau.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onder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kies voor basisinstructie en investeer extra in instructie. Verlaag het instructieniveau NIET, maar ga intensiveren = er meer tijd in stoppen. (denk aan: motivatie / bewegend leren / afwisselende activiteiten).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22</xdr:col>
      <xdr:colOff>1</xdr:colOff>
      <xdr:row>28</xdr:row>
      <xdr:rowOff>35859</xdr:rowOff>
    </xdr:from>
    <xdr:to>
      <xdr:col>27</xdr:col>
      <xdr:colOff>1</xdr:colOff>
      <xdr:row>43</xdr:row>
      <xdr:rowOff>62753</xdr:rowOff>
    </xdr:to>
    <xdr:sp macro="" textlink="">
      <xdr:nvSpPr>
        <xdr:cNvPr id="11" name="Rechthoek: afgeronde hoek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BB1977-C5A8-485F-92D3-6E2789264166}"/>
            </a:ext>
          </a:extLst>
        </xdr:cNvPr>
        <xdr:cNvSpPr/>
      </xdr:nvSpPr>
      <xdr:spPr>
        <a:xfrm>
          <a:off x="13402236" y="4823012"/>
          <a:ext cx="3048000" cy="2581835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/>
            <a:t>De</a:t>
          </a:r>
          <a:r>
            <a:rPr lang="nl-NL" sz="1400" b="1" baseline="0"/>
            <a:t> LEERKRACHT maakt het PLAN</a:t>
          </a:r>
          <a:r>
            <a:rPr lang="nl-NL" sz="1400" baseline="0"/>
            <a:t>:</a:t>
          </a:r>
        </a:p>
        <a:p>
          <a:pPr algn="l"/>
          <a:r>
            <a:rPr lang="nl-NL" sz="1400" baseline="0"/>
            <a:t>De knoppen die zichtbaar blijven:</a:t>
          </a:r>
        </a:p>
        <a:p>
          <a:pPr algn="l"/>
          <a:r>
            <a:rPr lang="nl-NL" sz="1400" b="1" baseline="0"/>
            <a:t>1. intro (rode knop)</a:t>
          </a:r>
        </a:p>
        <a:p>
          <a:pPr algn="l"/>
          <a:r>
            <a:rPr lang="nl-NL" sz="1400" b="1" baseline="0"/>
            <a:t>2. totaal (groene knop)</a:t>
          </a:r>
        </a:p>
        <a:p>
          <a:pPr algn="l"/>
          <a:r>
            <a:rPr lang="nl-NL" sz="1400" b="1" baseline="0"/>
            <a:t>3. doorgaande lijn (rode knop)</a:t>
          </a:r>
        </a:p>
        <a:p>
          <a:pPr algn="l"/>
          <a:r>
            <a:rPr lang="nl-NL" sz="1400" b="1" baseline="0"/>
            <a:t>4. scores van jouw groep</a:t>
          </a:r>
        </a:p>
        <a:p>
          <a:pPr algn="l"/>
          <a:r>
            <a:rPr lang="nl-NL" sz="1400" b="1" baseline="0"/>
            <a:t>5. OP van jouw groep</a:t>
          </a:r>
        </a:p>
        <a:p>
          <a:pPr algn="l"/>
          <a:r>
            <a:rPr lang="nl-NL" sz="1400" b="1" baseline="0"/>
            <a:t>6. basisaanpak / intensief / verrijkt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De rest verberg je. Hoe?   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 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18</xdr:col>
      <xdr:colOff>35111</xdr:colOff>
      <xdr:row>1</xdr:row>
      <xdr:rowOff>143803</xdr:rowOff>
    </xdr:from>
    <xdr:to>
      <xdr:col>20</xdr:col>
      <xdr:colOff>581211</xdr:colOff>
      <xdr:row>8</xdr:row>
      <xdr:rowOff>60133</xdr:rowOff>
    </xdr:to>
    <xdr:sp macro="" textlink="">
      <xdr:nvSpPr>
        <xdr:cNvPr id="12" name="Rechthoek: afgeronde hoek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9D35B2-EA13-4874-910B-E69D60CFDB1B}"/>
            </a:ext>
          </a:extLst>
        </xdr:cNvPr>
        <xdr:cNvSpPr/>
      </xdr:nvSpPr>
      <xdr:spPr>
        <a:xfrm>
          <a:off x="10998946" y="332062"/>
          <a:ext cx="1765300" cy="1108636"/>
        </a:xfrm>
        <a:prstGeom prst="roundRect">
          <a:avLst/>
        </a:prstGeom>
        <a:solidFill>
          <a:schemeClr val="bg1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>
              <a:solidFill>
                <a:srgbClr val="CC00FF"/>
              </a:solidFill>
            </a:rPr>
            <a:t>AANPAK</a:t>
          </a:r>
          <a:r>
            <a:rPr lang="nl-NL" sz="1400" baseline="0">
              <a:solidFill>
                <a:srgbClr val="CC00FF"/>
              </a:solidFill>
            </a:rPr>
            <a:t> OP SCHOOLNIVEAU</a:t>
          </a:r>
          <a:endParaRPr lang="nl-NL" sz="1400">
            <a:solidFill>
              <a:srgbClr val="CC00FF"/>
            </a:solidFill>
          </a:endParaRPr>
        </a:p>
        <a:p>
          <a:pPr algn="ctr"/>
          <a:r>
            <a:rPr lang="nl-NL" sz="1400" b="1" u="sng">
              <a:solidFill>
                <a:srgbClr val="CC00FF"/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170330</xdr:colOff>
      <xdr:row>36</xdr:row>
      <xdr:rowOff>80682</xdr:rowOff>
    </xdr:from>
    <xdr:to>
      <xdr:col>10</xdr:col>
      <xdr:colOff>475130</xdr:colOff>
      <xdr:row>42</xdr:row>
      <xdr:rowOff>167341</xdr:rowOff>
    </xdr:to>
    <xdr:sp macro="" textlink="">
      <xdr:nvSpPr>
        <xdr:cNvPr id="14" name="Rechthoek: afgeronde hoek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CC398B-842B-4AE0-93A1-53DECD773286}"/>
            </a:ext>
          </a:extLst>
        </xdr:cNvPr>
        <xdr:cNvSpPr/>
      </xdr:nvSpPr>
      <xdr:spPr>
        <a:xfrm>
          <a:off x="3818965" y="6230470"/>
          <a:ext cx="27432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En</a:t>
          </a:r>
          <a:r>
            <a:rPr lang="nl-NL" sz="1400" baseline="0"/>
            <a:t> als je geen ABCDE of 12345 scores hebt? (bijv. IEP)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Noteer dan het </a:t>
          </a:r>
          <a:r>
            <a:rPr lang="nl-NL" sz="1400" b="1" u="none" baseline="0">
              <a:solidFill>
                <a:schemeClr val="accent4">
                  <a:lumMod val="60000"/>
                  <a:lumOff val="40000"/>
                </a:schemeClr>
              </a:solidFill>
            </a:rPr>
            <a:t>LEERRENDEMENT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oneCellAnchor>
    <xdr:from>
      <xdr:col>0</xdr:col>
      <xdr:colOff>422459</xdr:colOff>
      <xdr:row>1</xdr:row>
      <xdr:rowOff>36978</xdr:rowOff>
    </xdr:from>
    <xdr:ext cx="6372787" cy="5154647"/>
    <xdr:pic>
      <xdr:nvPicPr>
        <xdr:cNvPr id="13" name="Afbeelding 12">
          <a:extLst>
            <a:ext uri="{FF2B5EF4-FFF2-40B4-BE49-F238E27FC236}">
              <a16:creationId xmlns:a16="http://schemas.microsoft.com/office/drawing/2014/main" id="{3B2C24C0-C85A-412F-BDF0-F9FBCDE8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459" y="227478"/>
          <a:ext cx="6372787" cy="515464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one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15" name="Afbeelding 14">
          <a:extLst>
            <a:ext uri="{FF2B5EF4-FFF2-40B4-BE49-F238E27FC236}">
              <a16:creationId xmlns:a16="http://schemas.microsoft.com/office/drawing/2014/main" id="{C402BEC7-F4BF-4C48-8874-7364852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781" y="3321573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98612</xdr:colOff>
      <xdr:row>8</xdr:row>
      <xdr:rowOff>161365</xdr:rowOff>
    </xdr:from>
    <xdr:to>
      <xdr:col>10</xdr:col>
      <xdr:colOff>188259</xdr:colOff>
      <xdr:row>13</xdr:row>
      <xdr:rowOff>161364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ED5CAF9A-C93C-4FEE-BFB7-2E8AC093C105}"/>
            </a:ext>
          </a:extLst>
        </xdr:cNvPr>
        <xdr:cNvSpPr txBox="1"/>
      </xdr:nvSpPr>
      <xdr:spPr>
        <a:xfrm rot="20453331">
          <a:off x="700592" y="1525345"/>
          <a:ext cx="5576047" cy="8381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4400" b="1">
              <a:solidFill>
                <a:srgbClr val="CC00FF"/>
              </a:solidFill>
            </a:rPr>
            <a:t>Naam</a:t>
          </a:r>
          <a:r>
            <a:rPr lang="nl-NL" sz="4400" b="1" baseline="0">
              <a:solidFill>
                <a:srgbClr val="CC00FF"/>
              </a:solidFill>
            </a:rPr>
            <a:t> van de school</a:t>
          </a:r>
          <a:endParaRPr lang="nl-NL" sz="4400" b="1">
            <a:solidFill>
              <a:srgbClr val="CC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B8364CA5-BA1D-4959-811C-CC685550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9E234AC-78B4-4241-B183-082EE85612EF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92311-E6F3-4F9A-94A7-D4FF4C6087B4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F258481-5850-4494-B304-B9F7C0434A6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84859FF2-9CB1-4A8A-A853-2D7F30CDB80E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3E71641-7FFF-477D-BF48-A16F9ACC379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830C249-D207-4A4A-9FB8-DE315E40FA85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CA6D097-0F84-4111-B700-C31439069C6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3DEF055-EBCF-4492-8211-241C9DB46CD6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B4667F0-A241-4EF4-B14F-4CF0E14EF36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C560AA8-2681-4C32-940F-126F7755612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3192F9E9-BDA9-4F85-AE45-B61A9650093C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E05DA869-8466-4097-A761-6DCF8EE40317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16B20B47-2E80-4582-9425-2CC6FB452776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D44638D3-E433-4A72-A429-AD14DCD3BEDF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A30CEC76-8308-4B3D-AD5F-19D409B1F4E9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743A5F9-9C83-4BE5-BD01-6DFE994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08CE2186-F1EF-4C27-949E-7708EE93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DEE17E1-2C5B-4AC6-879D-CC3E9F0F20BB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EE248A-48EF-4FD9-9AFC-ADC684D7CBE8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A6D1164-307A-43A9-9062-F101823BE03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E0CDEEA-366E-47C2-A70F-2040BBF61B9A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C9227A-370E-49B5-A7B6-B22C4CDA98A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079B7AF-07B4-4FC9-AEAD-255EDFF38727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E1B8A49-6D1B-4A94-94B8-9E8162D8774B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AC0C16D-049B-4A65-9F17-53EFB1B9B13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B5C40BBE-46D9-45B4-A476-23F421FF22A3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E4712867-4798-4837-AE42-F7EF043B3D07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1E7B0D27-53AA-4335-BE4A-5AB51D5632AB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6EAD336A-5845-4328-A7FF-DE9D359CAF86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95C06752-9256-473C-8847-6B122893E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2BF1FAD9-9091-440A-834B-672E3D792FB8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A9BC3B0-A6E1-48C6-90D0-B0422BFAFC23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801039BA-EE3A-4C4D-989B-304AD0E8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7D33C17C-8E7C-47E1-A294-661FE87C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B4FEC3D-C130-4440-B222-3EBDBAB2FE14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810C0F0-8933-4657-9199-16DF3D93A0D9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2A8FC8B-17DA-4B1A-B97D-91473A8C0A5B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2153BAA-B574-403D-A1AC-96E3E192C9A7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0751FB0-4A1B-47DD-8368-DE0DDFBBA53F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8CD899-332E-4038-BDE6-C19B104D1681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ACF4986-A1B1-4A81-BD74-54EAD23ABD73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47241B2-D4A1-4672-B418-CBDAB3EE8150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51B28C1-EB87-4B09-8BB6-481E2216009E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57B834F-8E46-40A1-B8E8-AB055CBA483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25E019EC-1DFC-4884-951C-BE0D6AE07A02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354644B-4680-4CB0-B9DF-EB38452772D5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2ECAC9B-0DD2-4C37-8AAC-A5E888248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591D453-DA46-41FE-978B-34EC6B3823A3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09A3C782-A465-4521-801A-AD0A838B0574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73933A62-024C-408D-A1E5-93264819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6B41DE57-E48E-46E5-8005-79A8D3FE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939E9D4-E67B-4D35-A7F8-A4FDC713D9A2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AE5CEE-FF2C-4CA3-9CEE-564D7738A297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50430F4-50DF-4B76-95F8-E10607A51A6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8F8B35B-4497-416C-A355-4479C57F39FC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E5E868D6-E64E-4EA1-AFB5-4DFC908642C9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611D1A-6CFC-44B0-B659-9DFECB5458BF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94A9E16E-21B9-4890-A140-1A846E541FFC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069B213-F673-4E94-898F-A5520F58E40A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F7A1025-A60F-47EC-B0D2-AD0E84ED6E80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F676B7FF-4C6E-4A46-82C5-6B02D3BAC6E6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7FDF9EDF-0627-4290-9313-A0876ED2AF17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3349366-909E-4AEF-90C2-9DEEB8F6818A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9191A49-DF84-4D6D-8B6F-3933D2FD0099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30ECCE09-55CD-4E6D-B32B-B2A6068003F4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D1D1F9D9-83AB-4F67-82CF-25889CA6C5F7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EDD170E-30D4-4CFB-A55D-B2553F77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5F3A3221-29ED-404E-A93E-E3A43AED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148F77BF-4B60-4131-8A7A-D1703887F505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8AC9407-5B51-422D-A817-007C23241FB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B1C7914-4ADC-44E0-AFD4-E2DB9D48B60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4F4A4C1-68EC-4DA6-A434-E80A3E4599EF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26658A-0A2E-4361-A4F8-8A1D52785D04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CCF3D6A-D971-49A5-B1CD-01AF9B1FA3E3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F12FEFBD-F5F2-4AE7-864D-CC80C9F1AE8F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EBB6AC9-47B0-4085-B7A1-5769FE9588B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BDC98F9-1951-4FBE-9740-80099B23C887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23750BC-4999-45F6-BCCD-D16E1F39D5A4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C0D3251-9D75-4896-8DF2-AD57EF015F30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5C12622-A58C-4E63-9615-E9ACD249378D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BE522894-5876-45DC-9AF1-150D239616AE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CF3AA69-45B8-450C-B9E7-D57A7ABA0CF1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1F55EB32-9D91-4833-90D6-B4F63E4F50FD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1E1954CB-4679-43F4-922D-75A84243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9E36BD75-CC61-4B6F-BDF0-75347FBB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E62E0C9-2788-4315-9996-5D97B5F2C998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A6E5C-E4E4-4317-8C5D-4F1ED5F5EE5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EBEA1E8-C339-4818-B45B-1D76CE1C72A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1D93C0-0F44-45EA-83C0-25A606A6E0E4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ECFFBB-546B-40FC-B651-748F0DFF323E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FCD2B00-C791-4A02-BB77-F0BE7CF3E900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BB6C880-9567-4FE9-B03C-28C8B25AF93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C6C7FAC-403D-4245-92AD-7863CCD754ED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A294050-13B0-4103-873D-DED34C39F78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1A8F783-D062-469C-8202-A62AB5624B60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69BE9CA-2D5A-4330-8A8A-1D99CE26021E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BF920AE-B672-415B-B9C6-27134A3B6111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53950B47-E45E-4B74-9740-5CDD68BCCF21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84F26029-7B7F-44C7-85C0-110763D61D6C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E92E9B0-1A11-4D3F-BBDC-52C45E78F00A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E67E6C5-249F-453E-AB8C-2740700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74196</xdr:colOff>
      <xdr:row>2</xdr:row>
      <xdr:rowOff>64169</xdr:rowOff>
    </xdr:from>
    <xdr:to>
      <xdr:col>14</xdr:col>
      <xdr:colOff>633663</xdr:colOff>
      <xdr:row>6</xdr:row>
      <xdr:rowOff>112295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6587291" y="561474"/>
          <a:ext cx="1562098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</a:t>
          </a:r>
        </a:p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56147</xdr:colOff>
      <xdr:row>2</xdr:row>
      <xdr:rowOff>64169</xdr:rowOff>
    </xdr:from>
    <xdr:to>
      <xdr:col>22</xdr:col>
      <xdr:colOff>32085</xdr:colOff>
      <xdr:row>6</xdr:row>
      <xdr:rowOff>112295</xdr:rowOff>
    </xdr:to>
    <xdr:sp macro="" textlink="">
      <xdr:nvSpPr>
        <xdr:cNvPr id="5" name="Pijl: links 4">
          <a:extLst>
            <a:ext uri="{FF2B5EF4-FFF2-40B4-BE49-F238E27FC236}">
              <a16:creationId xmlns:a16="http://schemas.microsoft.com/office/drawing/2014/main" id="{1FE206CB-C22C-4BD3-A75F-50174A5DA351}"/>
            </a:ext>
          </a:extLst>
        </xdr:cNvPr>
        <xdr:cNvSpPr/>
      </xdr:nvSpPr>
      <xdr:spPr>
        <a:xfrm flipH="1">
          <a:off x="8221579" y="561474"/>
          <a:ext cx="1411706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 baseline="0">
              <a:latin typeface="Arial" panose="020B0604020202020204" pitchFamily="34" charset="0"/>
              <a:cs typeface="Arial" panose="020B0604020202020204" pitchFamily="34" charset="0"/>
            </a:rPr>
            <a:t>Signaalscore? Zie dan OP </a:t>
          </a:r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B0C72258-D07B-4353-91EF-17CDBC15664A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5737C0DA-F734-4FD7-931B-15119D49346E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505CD05-D620-40F6-A687-A0277076A3C5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E7035F0-0DA1-407F-999A-2B97C27A83E8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26C33C54-2767-47B7-8BB0-6BAEAEED33DC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FB65C37F-EF2F-4B87-BBB8-DA64FB1DA42B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3F14B4F3-744B-4F5D-8CB3-885FD9F02990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2FD2CE2-9B0B-4F19-8DBF-538C8C169E75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96E049D6-04FF-4223-A22D-4C70CAC99EEE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AC8F294-A4A8-483E-9BFD-50447F50986D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BA69DE20-E78B-4597-B121-B0E78F8642F7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4228BF69-E6A0-423C-B00D-66A5C8B65964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152401</xdr:rowOff>
    </xdr:from>
    <xdr:to>
      <xdr:col>3</xdr:col>
      <xdr:colOff>7938</xdr:colOff>
      <xdr:row>2</xdr:row>
      <xdr:rowOff>38100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2D7B10B4-DCB1-4D8E-9631-B10B51C497C9}"/>
            </a:ext>
          </a:extLst>
        </xdr:cNvPr>
        <xdr:cNvSpPr txBox="1"/>
      </xdr:nvSpPr>
      <xdr:spPr>
        <a:xfrm>
          <a:off x="2112962" y="152401"/>
          <a:ext cx="2790826" cy="276224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444FA5F-01D4-4B7E-A2B6-B9D923061D99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2FCAF27-6549-425E-B00C-74536EFF74D9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BEA4E286-EAC7-425F-9375-D70980FA9A27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5DEEBED1-37F5-4137-A6C6-286F6112A01C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59D23C36-7D9A-432C-8379-90431E00D466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1675A502-DEC8-49E2-A483-F7C41EF018CF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C3D86B7D-E119-4FB7-9D27-E0B4A8E63FBE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197F31E5-8461-4ACC-9B72-AC1629B27567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77EA41C-26D8-4E4F-AD8F-DFFC16FB9DFC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22CB60E9-6E0A-4603-9763-467D28D83EE3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8DD4211-E75C-4474-B5F2-E44AE690F948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136743FF-430B-40DE-B0B1-749312524AC8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E2A94526-A9C0-4343-A448-A17B1CF7256A}"/>
            </a:ext>
          </a:extLst>
        </xdr:cNvPr>
        <xdr:cNvSpPr txBox="1"/>
      </xdr:nvSpPr>
      <xdr:spPr>
        <a:xfrm>
          <a:off x="2112962" y="158749"/>
          <a:ext cx="2787016" cy="68770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D1ACC0DE-315E-4A8B-84C4-8E7727007D58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8F8DEFDD-0A06-44BC-9816-F0C8FE5F67E4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DCEB63BE-B839-4D2D-A0FD-AB4F9FF88FA4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10AFCAB-9CDA-4295-8B40-40FDCBCFD124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B7263539-AAD8-4B7A-A305-E6181FEFD6A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ED424F9-02A1-4BC0-8F09-6832BBCAC33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5575ACBA-B8A8-4049-94B6-4A45D01D4D73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7F5D833-7879-4598-9B93-B3F20A66F5D9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18116C10-79F6-46E3-83DE-DA73001FC42F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16EB018-58B2-4392-92A8-C80CAD530DC1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13BFB9D-6AD5-4CD0-9B66-DF790C979F41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DE7E2CB4-0B23-47ED-A801-DC82CF110631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853BFA45-9721-47D9-B0AD-C59800751AD4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197F964-65B9-49A0-B1C6-A36EA4BFBFD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2FBE66B2-F3AD-4C64-BB16-6BBD31843233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39770C27-4B0C-4186-9EE3-E8DD8CE31455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FCD3E397-BB3E-49C5-9022-4C8FF0D31CA0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679758CD-710A-46F0-961D-A4CB928CA910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BD0B927A-F587-4F02-85DE-E86D3BD35091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34326A60-32C7-45E2-9FBE-77F5E3C84146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5F00D40-C52B-4837-8F63-8806909F43A9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7B3711A-D6BA-4492-A740-E7DD9EB71046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AF5668BD-0BE0-4DA8-80BE-A84D01038CBA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C402C1FB-0DA4-4566-B288-E4116A89779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547A68AB-9E98-4614-9197-02FAA8C175E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995E5839-FF00-47EF-AE72-2BD52712F604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AF1821D9-5493-4CBA-9A12-E6FE6BDEE28C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3060AE8-5B38-4033-A968-09B632E91547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1855E886-4A68-4856-888D-C72AC7D84D6B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D54FB2D1-8B89-49AF-9B31-BF2295583267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C5E730D1-D434-4F5A-AD4B-6CE3B5C9C102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B777BC0C-72C8-4026-8AF3-C95CE7C993B3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C4A65D19-F122-4E42-A6B3-BC58D8477BF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0A4AE28-F154-4EBA-8688-FFDD13E0535B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AD6BA3F5-550E-4511-A7E3-4B2D94CBEBBB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E418BF18-9317-4ABA-8212-6BECB6148227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0B06C76-2658-431F-97A1-1B33C31BD77D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08B5713-E7B1-42E7-953A-BE60028089F8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0050-FB3F-4251-A69E-C31D0549EB80}">
  <sheetPr>
    <tabColor rgb="FFCCCCFF"/>
  </sheetPr>
  <dimension ref="M2"/>
  <sheetViews>
    <sheetView showGridLines="0" showRowColHeaders="0" workbookViewId="0"/>
  </sheetViews>
  <sheetFormatPr defaultRowHeight="13.2" x14ac:dyDescent="0.25"/>
  <sheetData>
    <row r="2" spans="13:13" x14ac:dyDescent="0.25">
      <c r="M2" t="e" vm="1">
        <v>#VALUE!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E81-52E5-40E2-BF86-C4F7E3EBD3BC}">
  <sheetPr>
    <tabColor rgb="FFCCCCFF"/>
  </sheetPr>
  <dimension ref="B2:J1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sheetData>
    <row r="2" spans="2:10" ht="24.6" x14ac:dyDescent="0.4">
      <c r="B2" s="259" t="s">
        <v>152</v>
      </c>
    </row>
    <row r="3" spans="2:10" ht="13.8" x14ac:dyDescent="0.25">
      <c r="B3" s="258"/>
    </row>
    <row r="4" spans="2:10" ht="27.6" x14ac:dyDescent="0.45">
      <c r="B4" s="258" t="s">
        <v>153</v>
      </c>
      <c r="J4" s="258" t="s">
        <v>155</v>
      </c>
    </row>
    <row r="5" spans="2:10" ht="24.6" x14ac:dyDescent="0.4">
      <c r="B5" s="258" t="s">
        <v>154</v>
      </c>
    </row>
    <row r="6" spans="2:10" ht="13.8" x14ac:dyDescent="0.25">
      <c r="B6" s="258"/>
    </row>
    <row r="7" spans="2:10" ht="13.8" x14ac:dyDescent="0.25">
      <c r="B7" s="258" t="s">
        <v>158</v>
      </c>
      <c r="J7" s="13" t="s">
        <v>159</v>
      </c>
    </row>
    <row r="8" spans="2:10" ht="13.8" x14ac:dyDescent="0.25">
      <c r="B8" s="258" t="s">
        <v>157</v>
      </c>
      <c r="J8" s="13" t="s">
        <v>156</v>
      </c>
    </row>
    <row r="9" spans="2:10" x14ac:dyDescent="0.25">
      <c r="J9" s="13" t="s">
        <v>160</v>
      </c>
    </row>
    <row r="10" spans="2:10" x14ac:dyDescent="0.25">
      <c r="J10" s="13" t="s">
        <v>161</v>
      </c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EBD2-3B86-40B1-9D7D-69A41674342D}">
  <sheetPr>
    <tabColor rgb="FFCCCCFF"/>
  </sheetPr>
  <dimension ref="A1:E202"/>
  <sheetViews>
    <sheetView showGridLines="0" showRowColHeaders="0" topLeftCell="A85" zoomScaleNormal="100" workbookViewId="0">
      <selection activeCell="B97" sqref="B97"/>
    </sheetView>
  </sheetViews>
  <sheetFormatPr defaultColWidth="9.21875" defaultRowHeight="14.4" x14ac:dyDescent="0.3"/>
  <cols>
    <col min="1" max="1" width="13.44140625" style="238" bestFit="1" customWidth="1"/>
    <col min="2" max="2" width="18.5546875" style="239" bestFit="1" customWidth="1"/>
    <col min="3" max="3" width="8.44140625" style="239" bestFit="1" customWidth="1"/>
    <col min="4" max="1025" width="8.5546875" style="239" customWidth="1"/>
    <col min="1026" max="16384" width="9.21875" style="239"/>
  </cols>
  <sheetData>
    <row r="1" spans="1:5" x14ac:dyDescent="0.3">
      <c r="A1" s="238" t="s">
        <v>136</v>
      </c>
      <c r="B1" s="239" t="s">
        <v>137</v>
      </c>
      <c r="C1" s="239" t="s">
        <v>138</v>
      </c>
      <c r="E1" s="239" t="s">
        <v>139</v>
      </c>
    </row>
    <row r="2" spans="1:5" x14ac:dyDescent="0.3">
      <c r="A2" s="240">
        <v>20</v>
      </c>
      <c r="B2" s="241">
        <v>0.68300000000000005</v>
      </c>
      <c r="C2" s="241">
        <v>0.77900000000000003</v>
      </c>
      <c r="D2" s="242"/>
      <c r="E2" s="243">
        <v>0.98699999999999999</v>
      </c>
    </row>
    <row r="3" spans="1:5" x14ac:dyDescent="0.3">
      <c r="A3" s="240">
        <f t="shared" ref="A3:A37" si="0">A2+0.1</f>
        <v>20.100000000000001</v>
      </c>
      <c r="B3" s="244">
        <v>0.68300000000000005</v>
      </c>
      <c r="C3" s="241">
        <v>0.77900000000000003</v>
      </c>
      <c r="E3" s="245">
        <v>0.98699999999999999</v>
      </c>
    </row>
    <row r="4" spans="1:5" x14ac:dyDescent="0.3">
      <c r="A4" s="240">
        <f t="shared" si="0"/>
        <v>20.200000000000003</v>
      </c>
      <c r="B4" s="244">
        <v>0.68300000000000005</v>
      </c>
      <c r="C4" s="241">
        <v>0.77900000000000003</v>
      </c>
      <c r="E4" s="245">
        <v>0.98699999999999999</v>
      </c>
    </row>
    <row r="5" spans="1:5" x14ac:dyDescent="0.3">
      <c r="A5" s="240">
        <f t="shared" si="0"/>
        <v>20.300000000000004</v>
      </c>
      <c r="B5" s="244">
        <v>0.68300000000000005</v>
      </c>
      <c r="C5" s="241">
        <v>0.77900000000000003</v>
      </c>
      <c r="E5" s="245">
        <v>0.98699999999999999</v>
      </c>
    </row>
    <row r="6" spans="1:5" x14ac:dyDescent="0.3">
      <c r="A6" s="240">
        <f t="shared" si="0"/>
        <v>20.400000000000006</v>
      </c>
      <c r="B6" s="244">
        <v>0.68300000000000005</v>
      </c>
      <c r="C6" s="241">
        <v>0.77900000000000003</v>
      </c>
      <c r="E6" s="245">
        <v>0.98699999999999999</v>
      </c>
    </row>
    <row r="7" spans="1:5" x14ac:dyDescent="0.3">
      <c r="A7" s="240">
        <f t="shared" si="0"/>
        <v>20.500000000000007</v>
      </c>
      <c r="B7" s="244">
        <v>0.68300000000000005</v>
      </c>
      <c r="C7" s="241">
        <v>0.77900000000000003</v>
      </c>
      <c r="E7" s="245">
        <v>0.98699999999999999</v>
      </c>
    </row>
    <row r="8" spans="1:5" x14ac:dyDescent="0.3">
      <c r="A8" s="240">
        <f t="shared" si="0"/>
        <v>20.600000000000009</v>
      </c>
      <c r="B8" s="244">
        <v>0.68300000000000005</v>
      </c>
      <c r="C8" s="241">
        <v>0.77900000000000003</v>
      </c>
      <c r="E8" s="245">
        <v>0.98699999999999999</v>
      </c>
    </row>
    <row r="9" spans="1:5" x14ac:dyDescent="0.3">
      <c r="A9" s="240">
        <f t="shared" si="0"/>
        <v>20.70000000000001</v>
      </c>
      <c r="B9" s="244">
        <v>0.68300000000000005</v>
      </c>
      <c r="C9" s="241">
        <v>0.77900000000000003</v>
      </c>
      <c r="E9" s="245">
        <v>0.98699999999999999</v>
      </c>
    </row>
    <row r="10" spans="1:5" x14ac:dyDescent="0.3">
      <c r="A10" s="240">
        <f t="shared" si="0"/>
        <v>20.800000000000011</v>
      </c>
      <c r="B10" s="244">
        <v>0.68300000000000005</v>
      </c>
      <c r="C10" s="241">
        <v>0.77900000000000003</v>
      </c>
      <c r="E10" s="245">
        <v>0.98699999999999999</v>
      </c>
    </row>
    <row r="11" spans="1:5" x14ac:dyDescent="0.3">
      <c r="A11" s="240">
        <f t="shared" si="0"/>
        <v>20.900000000000013</v>
      </c>
      <c r="B11" s="244">
        <v>0.68300000000000005</v>
      </c>
      <c r="C11" s="241">
        <v>0.77900000000000003</v>
      </c>
      <c r="E11" s="245">
        <v>0.98699999999999999</v>
      </c>
    </row>
    <row r="12" spans="1:5" x14ac:dyDescent="0.3">
      <c r="A12" s="240">
        <f t="shared" si="0"/>
        <v>21.000000000000014</v>
      </c>
      <c r="B12" s="241">
        <v>0.65</v>
      </c>
      <c r="C12" s="241">
        <v>0.72899999999999998</v>
      </c>
      <c r="D12" s="242"/>
      <c r="E12" s="246">
        <v>0.98</v>
      </c>
    </row>
    <row r="13" spans="1:5" x14ac:dyDescent="0.3">
      <c r="A13" s="240">
        <f t="shared" si="0"/>
        <v>21.100000000000016</v>
      </c>
      <c r="B13" s="244">
        <v>0.65</v>
      </c>
      <c r="C13" s="241">
        <v>0.72899999999999998</v>
      </c>
      <c r="E13" s="247">
        <v>0.98</v>
      </c>
    </row>
    <row r="14" spans="1:5" x14ac:dyDescent="0.3">
      <c r="A14" s="240">
        <f t="shared" si="0"/>
        <v>21.200000000000017</v>
      </c>
      <c r="B14" s="244">
        <v>0.65</v>
      </c>
      <c r="C14" s="241">
        <v>0.72899999999999998</v>
      </c>
      <c r="E14" s="247">
        <v>0.98</v>
      </c>
    </row>
    <row r="15" spans="1:5" x14ac:dyDescent="0.3">
      <c r="A15" s="240">
        <f t="shared" si="0"/>
        <v>21.300000000000018</v>
      </c>
      <c r="B15" s="244">
        <v>0.65</v>
      </c>
      <c r="C15" s="241">
        <v>0.72899999999999998</v>
      </c>
      <c r="E15" s="247">
        <v>0.98</v>
      </c>
    </row>
    <row r="16" spans="1:5" x14ac:dyDescent="0.3">
      <c r="A16" s="240">
        <f t="shared" si="0"/>
        <v>21.40000000000002</v>
      </c>
      <c r="B16" s="244">
        <v>0.65</v>
      </c>
      <c r="C16" s="241">
        <v>0.72899999999999998</v>
      </c>
      <c r="E16" s="247">
        <v>0.98</v>
      </c>
    </row>
    <row r="17" spans="1:5" x14ac:dyDescent="0.3">
      <c r="A17" s="240">
        <f t="shared" si="0"/>
        <v>21.500000000000021</v>
      </c>
      <c r="B17" s="244">
        <v>0.65</v>
      </c>
      <c r="C17" s="241">
        <v>0.72899999999999998</v>
      </c>
      <c r="E17" s="247">
        <v>0.98</v>
      </c>
    </row>
    <row r="18" spans="1:5" x14ac:dyDescent="0.3">
      <c r="A18" s="240">
        <f t="shared" si="0"/>
        <v>21.600000000000023</v>
      </c>
      <c r="B18" s="244">
        <v>0.65</v>
      </c>
      <c r="C18" s="241">
        <v>0.72899999999999998</v>
      </c>
      <c r="E18" s="247">
        <v>0.98</v>
      </c>
    </row>
    <row r="19" spans="1:5" x14ac:dyDescent="0.3">
      <c r="A19" s="240">
        <f t="shared" si="0"/>
        <v>21.700000000000024</v>
      </c>
      <c r="B19" s="244">
        <v>0.65</v>
      </c>
      <c r="C19" s="241">
        <v>0.72899999999999998</v>
      </c>
      <c r="E19" s="247">
        <v>0.98</v>
      </c>
    </row>
    <row r="20" spans="1:5" x14ac:dyDescent="0.3">
      <c r="A20" s="240">
        <f t="shared" si="0"/>
        <v>21.800000000000026</v>
      </c>
      <c r="B20" s="244">
        <v>0.65</v>
      </c>
      <c r="C20" s="241">
        <v>0.72899999999999998</v>
      </c>
      <c r="E20" s="247">
        <v>0.98</v>
      </c>
    </row>
    <row r="21" spans="1:5" x14ac:dyDescent="0.3">
      <c r="A21" s="240">
        <f t="shared" si="0"/>
        <v>21.900000000000027</v>
      </c>
      <c r="B21" s="244">
        <v>0.65</v>
      </c>
      <c r="C21" s="241">
        <v>0.72899999999999998</v>
      </c>
      <c r="E21" s="247">
        <v>0.98</v>
      </c>
    </row>
    <row r="22" spans="1:5" x14ac:dyDescent="0.3">
      <c r="A22" s="240">
        <f t="shared" si="0"/>
        <v>22.000000000000028</v>
      </c>
      <c r="B22" s="241">
        <v>0.61899999999999999</v>
      </c>
      <c r="C22" s="241">
        <v>0.71</v>
      </c>
      <c r="D22" s="242"/>
      <c r="E22" s="243">
        <v>0.97799999999999998</v>
      </c>
    </row>
    <row r="23" spans="1:5" x14ac:dyDescent="0.3">
      <c r="A23" s="240">
        <f t="shared" si="0"/>
        <v>22.10000000000003</v>
      </c>
      <c r="B23" s="248">
        <v>0.61899999999999999</v>
      </c>
      <c r="C23" s="241">
        <v>0.71</v>
      </c>
      <c r="E23" s="245">
        <v>0.97799999999999998</v>
      </c>
    </row>
    <row r="24" spans="1:5" x14ac:dyDescent="0.3">
      <c r="A24" s="240">
        <f t="shared" si="0"/>
        <v>22.200000000000031</v>
      </c>
      <c r="B24" s="248">
        <v>0.61899999999999999</v>
      </c>
      <c r="C24" s="241">
        <v>0.71</v>
      </c>
      <c r="E24" s="245">
        <v>0.97799999999999998</v>
      </c>
    </row>
    <row r="25" spans="1:5" x14ac:dyDescent="0.3">
      <c r="A25" s="240">
        <f t="shared" si="0"/>
        <v>22.300000000000033</v>
      </c>
      <c r="B25" s="248">
        <v>0.61899999999999999</v>
      </c>
      <c r="C25" s="241">
        <v>0.71</v>
      </c>
      <c r="E25" s="245">
        <v>0.97799999999999998</v>
      </c>
    </row>
    <row r="26" spans="1:5" x14ac:dyDescent="0.3">
      <c r="A26" s="240">
        <f t="shared" si="0"/>
        <v>22.400000000000034</v>
      </c>
      <c r="B26" s="248">
        <v>0.61899999999999999</v>
      </c>
      <c r="C26" s="241">
        <v>0.71</v>
      </c>
      <c r="E26" s="245">
        <v>0.97799999999999998</v>
      </c>
    </row>
    <row r="27" spans="1:5" x14ac:dyDescent="0.3">
      <c r="A27" s="240">
        <f t="shared" si="0"/>
        <v>22.500000000000036</v>
      </c>
      <c r="B27" s="248">
        <v>0.61899999999999999</v>
      </c>
      <c r="C27" s="241">
        <v>0.71</v>
      </c>
      <c r="E27" s="245">
        <v>0.97799999999999998</v>
      </c>
    </row>
    <row r="28" spans="1:5" x14ac:dyDescent="0.3">
      <c r="A28" s="240">
        <f t="shared" si="0"/>
        <v>22.600000000000037</v>
      </c>
      <c r="B28" s="248">
        <v>0.61899999999999999</v>
      </c>
      <c r="C28" s="241">
        <v>0.71</v>
      </c>
      <c r="E28" s="245">
        <v>0.97799999999999998</v>
      </c>
    </row>
    <row r="29" spans="1:5" x14ac:dyDescent="0.3">
      <c r="A29" s="240">
        <f t="shared" si="0"/>
        <v>22.700000000000038</v>
      </c>
      <c r="B29" s="248">
        <v>0.61899999999999999</v>
      </c>
      <c r="C29" s="241">
        <v>0.71</v>
      </c>
      <c r="E29" s="245">
        <v>0.97799999999999998</v>
      </c>
    </row>
    <row r="30" spans="1:5" x14ac:dyDescent="0.3">
      <c r="A30" s="240">
        <f t="shared" si="0"/>
        <v>22.80000000000004</v>
      </c>
      <c r="B30" s="248">
        <v>0.61899999999999999</v>
      </c>
      <c r="C30" s="241">
        <v>0.71</v>
      </c>
      <c r="E30" s="245">
        <v>0.97799999999999998</v>
      </c>
    </row>
    <row r="31" spans="1:5" x14ac:dyDescent="0.3">
      <c r="A31" s="240">
        <f t="shared" si="0"/>
        <v>22.900000000000041</v>
      </c>
      <c r="B31" s="248">
        <v>0.61899999999999999</v>
      </c>
      <c r="C31" s="241">
        <v>0.71</v>
      </c>
      <c r="E31" s="245">
        <v>0.97799999999999998</v>
      </c>
    </row>
    <row r="32" spans="1:5" x14ac:dyDescent="0.3">
      <c r="A32" s="240">
        <f t="shared" si="0"/>
        <v>23.000000000000043</v>
      </c>
      <c r="B32" s="241">
        <v>0.58899999999999997</v>
      </c>
      <c r="C32" s="241">
        <v>0.68200000000000005</v>
      </c>
      <c r="D32" s="242"/>
      <c r="E32" s="243">
        <v>0.97299999999999998</v>
      </c>
    </row>
    <row r="33" spans="1:5" x14ac:dyDescent="0.3">
      <c r="A33" s="240">
        <f t="shared" si="0"/>
        <v>23.100000000000044</v>
      </c>
      <c r="B33" s="248">
        <v>0.58899999999999997</v>
      </c>
      <c r="C33" s="241">
        <v>0.68200000000000005</v>
      </c>
      <c r="E33" s="245">
        <v>0.97299999999999998</v>
      </c>
    </row>
    <row r="34" spans="1:5" x14ac:dyDescent="0.3">
      <c r="A34" s="240">
        <f t="shared" si="0"/>
        <v>23.200000000000045</v>
      </c>
      <c r="B34" s="248">
        <v>0.58899999999999997</v>
      </c>
      <c r="C34" s="241">
        <v>0.68200000000000005</v>
      </c>
      <c r="E34" s="245">
        <v>0.97299999999999998</v>
      </c>
    </row>
    <row r="35" spans="1:5" x14ac:dyDescent="0.3">
      <c r="A35" s="240">
        <f t="shared" si="0"/>
        <v>23.300000000000047</v>
      </c>
      <c r="B35" s="248">
        <v>0.58899999999999997</v>
      </c>
      <c r="C35" s="241">
        <v>0.68200000000000005</v>
      </c>
      <c r="E35" s="245">
        <v>0.97299999999999998</v>
      </c>
    </row>
    <row r="36" spans="1:5" x14ac:dyDescent="0.3">
      <c r="A36" s="240">
        <f t="shared" si="0"/>
        <v>23.400000000000048</v>
      </c>
      <c r="B36" s="248">
        <v>0.58899999999999997</v>
      </c>
      <c r="C36" s="241">
        <v>0.68200000000000005</v>
      </c>
      <c r="E36" s="245">
        <v>0.97299999999999998</v>
      </c>
    </row>
    <row r="37" spans="1:5" x14ac:dyDescent="0.3">
      <c r="A37" s="240">
        <f t="shared" si="0"/>
        <v>23.50000000000005</v>
      </c>
      <c r="B37" s="248">
        <v>0.58899999999999997</v>
      </c>
      <c r="C37" s="241">
        <v>0.68200000000000005</v>
      </c>
      <c r="E37" s="245">
        <v>0.97299999999999998</v>
      </c>
    </row>
    <row r="38" spans="1:5" x14ac:dyDescent="0.3">
      <c r="A38" s="240">
        <v>23.6</v>
      </c>
      <c r="B38" s="248">
        <v>0.58899999999999997</v>
      </c>
      <c r="C38" s="241">
        <v>0.68200000000000005</v>
      </c>
      <c r="E38" s="245">
        <v>0.97299999999999998</v>
      </c>
    </row>
    <row r="39" spans="1:5" x14ac:dyDescent="0.3">
      <c r="A39" s="240">
        <v>23.7</v>
      </c>
      <c r="B39" s="248">
        <v>0.58899999999999997</v>
      </c>
      <c r="C39" s="241">
        <v>0.68200000000000005</v>
      </c>
      <c r="E39" s="245">
        <v>0.97299999999999998</v>
      </c>
    </row>
    <row r="40" spans="1:5" x14ac:dyDescent="0.3">
      <c r="A40" s="240">
        <v>23.8</v>
      </c>
      <c r="B40" s="248">
        <v>0.58899999999999997</v>
      </c>
      <c r="C40" s="241">
        <v>0.68200000000000005</v>
      </c>
      <c r="E40" s="245">
        <v>0.97299999999999998</v>
      </c>
    </row>
    <row r="41" spans="1:5" x14ac:dyDescent="0.3">
      <c r="A41" s="240">
        <v>23.9</v>
      </c>
      <c r="B41" s="248">
        <v>0.58899999999999997</v>
      </c>
      <c r="C41" s="241">
        <v>0.68200000000000005</v>
      </c>
      <c r="E41" s="245">
        <v>0.97299999999999998</v>
      </c>
    </row>
    <row r="42" spans="1:5" x14ac:dyDescent="0.3">
      <c r="A42" s="240">
        <v>24</v>
      </c>
      <c r="B42" s="241">
        <v>0.56200000000000006</v>
      </c>
      <c r="C42" s="241">
        <v>0.66600000000000004</v>
      </c>
      <c r="D42" s="242"/>
      <c r="E42" s="249">
        <v>0.97899999999999998</v>
      </c>
    </row>
    <row r="43" spans="1:5" x14ac:dyDescent="0.3">
      <c r="A43" s="240">
        <v>24.1</v>
      </c>
      <c r="B43" s="248">
        <v>0.56200000000000006</v>
      </c>
      <c r="C43" s="241">
        <v>0.66600000000000004</v>
      </c>
      <c r="E43" s="250">
        <v>0.97899999999999998</v>
      </c>
    </row>
    <row r="44" spans="1:5" x14ac:dyDescent="0.3">
      <c r="A44" s="240">
        <v>24.2</v>
      </c>
      <c r="B44" s="248">
        <v>0.56200000000000006</v>
      </c>
      <c r="C44" s="241">
        <v>0.66600000000000004</v>
      </c>
      <c r="E44" s="250">
        <v>0.97899999999999998</v>
      </c>
    </row>
    <row r="45" spans="1:5" x14ac:dyDescent="0.3">
      <c r="A45" s="240">
        <v>24.3</v>
      </c>
      <c r="B45" s="248">
        <v>0.56200000000000006</v>
      </c>
      <c r="C45" s="241">
        <v>0.66600000000000004</v>
      </c>
      <c r="E45" s="250">
        <v>0.97899999999999998</v>
      </c>
    </row>
    <row r="46" spans="1:5" x14ac:dyDescent="0.3">
      <c r="A46" s="240">
        <v>24.4</v>
      </c>
      <c r="B46" s="248">
        <v>0.56200000000000006</v>
      </c>
      <c r="C46" s="241">
        <v>0.66600000000000004</v>
      </c>
      <c r="E46" s="250">
        <v>0.97899999999999998</v>
      </c>
    </row>
    <row r="47" spans="1:5" x14ac:dyDescent="0.3">
      <c r="A47" s="240">
        <v>24.5</v>
      </c>
      <c r="B47" s="248">
        <v>0.56200000000000006</v>
      </c>
      <c r="C47" s="241">
        <v>0.66600000000000004</v>
      </c>
      <c r="E47" s="250">
        <v>0.97899999999999998</v>
      </c>
    </row>
    <row r="48" spans="1:5" x14ac:dyDescent="0.3">
      <c r="A48" s="240">
        <v>24.6</v>
      </c>
      <c r="B48" s="248">
        <v>0.56200000000000006</v>
      </c>
      <c r="C48" s="241">
        <v>0.66600000000000004</v>
      </c>
      <c r="E48" s="250">
        <v>0.97899999999999998</v>
      </c>
    </row>
    <row r="49" spans="1:5" x14ac:dyDescent="0.3">
      <c r="A49" s="240">
        <v>24.7</v>
      </c>
      <c r="B49" s="248">
        <v>0.56200000000000006</v>
      </c>
      <c r="C49" s="241">
        <v>0.66600000000000004</v>
      </c>
      <c r="E49" s="250">
        <v>0.97899999999999998</v>
      </c>
    </row>
    <row r="50" spans="1:5" x14ac:dyDescent="0.3">
      <c r="A50" s="240">
        <v>24.8</v>
      </c>
      <c r="B50" s="248">
        <v>0.56200000000000006</v>
      </c>
      <c r="C50" s="241">
        <v>0.66600000000000004</v>
      </c>
      <c r="E50" s="250">
        <v>0.97899999999999998</v>
      </c>
    </row>
    <row r="51" spans="1:5" x14ac:dyDescent="0.3">
      <c r="A51" s="240">
        <v>24.9</v>
      </c>
      <c r="B51" s="248">
        <v>0.56200000000000006</v>
      </c>
      <c r="C51" s="241">
        <v>0.66600000000000004</v>
      </c>
      <c r="E51" s="250">
        <v>0.97899999999999998</v>
      </c>
    </row>
    <row r="52" spans="1:5" x14ac:dyDescent="0.3">
      <c r="A52" s="240">
        <v>25</v>
      </c>
      <c r="B52" s="241">
        <v>0.53800000000000003</v>
      </c>
      <c r="C52" s="241">
        <v>0.64100000000000001</v>
      </c>
      <c r="D52" s="242"/>
      <c r="E52" s="249">
        <v>0.96499999999999997</v>
      </c>
    </row>
    <row r="53" spans="1:5" x14ac:dyDescent="0.3">
      <c r="A53" s="240">
        <v>25.1</v>
      </c>
      <c r="B53" s="248">
        <v>0.53800000000000003</v>
      </c>
      <c r="C53" s="241">
        <v>0.64100000000000001</v>
      </c>
      <c r="E53" s="250">
        <v>0.96499999999999997</v>
      </c>
    </row>
    <row r="54" spans="1:5" x14ac:dyDescent="0.3">
      <c r="A54" s="240">
        <v>25.2</v>
      </c>
      <c r="B54" s="248">
        <v>0.53800000000000003</v>
      </c>
      <c r="C54" s="241">
        <v>0.64100000000000001</v>
      </c>
      <c r="E54" s="250">
        <v>0.96499999999999997</v>
      </c>
    </row>
    <row r="55" spans="1:5" x14ac:dyDescent="0.3">
      <c r="A55" s="240">
        <v>25.3</v>
      </c>
      <c r="B55" s="248">
        <v>0.53800000000000003</v>
      </c>
      <c r="C55" s="241">
        <v>0.64100000000000001</v>
      </c>
      <c r="E55" s="250">
        <v>0.96499999999999997</v>
      </c>
    </row>
    <row r="56" spans="1:5" x14ac:dyDescent="0.3">
      <c r="A56" s="240">
        <v>25.4</v>
      </c>
      <c r="B56" s="248">
        <v>0.53800000000000003</v>
      </c>
      <c r="C56" s="241">
        <v>0.64100000000000001</v>
      </c>
      <c r="E56" s="250">
        <v>0.96499999999999997</v>
      </c>
    </row>
    <row r="57" spans="1:5" x14ac:dyDescent="0.3">
      <c r="A57" s="240">
        <v>25.5</v>
      </c>
      <c r="B57" s="248">
        <v>0.53800000000000003</v>
      </c>
      <c r="C57" s="241">
        <v>0.64100000000000001</v>
      </c>
      <c r="E57" s="250">
        <v>0.96499999999999997</v>
      </c>
    </row>
    <row r="58" spans="1:5" x14ac:dyDescent="0.3">
      <c r="A58" s="240">
        <v>25.6</v>
      </c>
      <c r="B58" s="248">
        <v>0.53800000000000003</v>
      </c>
      <c r="C58" s="241">
        <v>0.64100000000000001</v>
      </c>
      <c r="E58" s="250">
        <v>0.96499999999999997</v>
      </c>
    </row>
    <row r="59" spans="1:5" x14ac:dyDescent="0.3">
      <c r="A59" s="240">
        <v>25.7</v>
      </c>
      <c r="B59" s="248">
        <v>0.53800000000000003</v>
      </c>
      <c r="C59" s="241">
        <v>0.64100000000000001</v>
      </c>
      <c r="E59" s="250">
        <v>0.96499999999999997</v>
      </c>
    </row>
    <row r="60" spans="1:5" x14ac:dyDescent="0.3">
      <c r="A60" s="240">
        <v>25.8</v>
      </c>
      <c r="B60" s="248">
        <v>0.53800000000000003</v>
      </c>
      <c r="C60" s="241">
        <v>0.64100000000000001</v>
      </c>
      <c r="E60" s="250">
        <v>0.96499999999999997</v>
      </c>
    </row>
    <row r="61" spans="1:5" x14ac:dyDescent="0.3">
      <c r="A61" s="240">
        <v>25.9</v>
      </c>
      <c r="B61" s="248">
        <v>0.53800000000000003</v>
      </c>
      <c r="C61" s="241">
        <v>0.64100000000000001</v>
      </c>
      <c r="E61" s="250">
        <v>0.96499999999999997</v>
      </c>
    </row>
    <row r="62" spans="1:5" x14ac:dyDescent="0.3">
      <c r="A62" s="240">
        <v>26</v>
      </c>
      <c r="B62" s="241">
        <v>0.51800000000000002</v>
      </c>
      <c r="C62" s="241">
        <v>0.63300000000000001</v>
      </c>
      <c r="D62" s="242"/>
      <c r="E62" s="249">
        <v>0.96299999999999997</v>
      </c>
    </row>
    <row r="63" spans="1:5" x14ac:dyDescent="0.3">
      <c r="A63" s="240">
        <v>26.1</v>
      </c>
      <c r="B63" s="248">
        <v>0.51800000000000002</v>
      </c>
      <c r="C63" s="241">
        <v>0.63300000000000001</v>
      </c>
      <c r="E63" s="250">
        <v>0.96299999999999997</v>
      </c>
    </row>
    <row r="64" spans="1:5" x14ac:dyDescent="0.3">
      <c r="A64" s="240">
        <v>26.2</v>
      </c>
      <c r="B64" s="248">
        <v>0.51800000000000002</v>
      </c>
      <c r="C64" s="241">
        <v>0.63300000000000001</v>
      </c>
      <c r="E64" s="250">
        <v>0.96299999999999997</v>
      </c>
    </row>
    <row r="65" spans="1:5" x14ac:dyDescent="0.3">
      <c r="A65" s="240">
        <v>26.3</v>
      </c>
      <c r="B65" s="248">
        <v>0.51800000000000002</v>
      </c>
      <c r="C65" s="241">
        <v>0.63300000000000001</v>
      </c>
      <c r="E65" s="250">
        <v>0.96299999999999997</v>
      </c>
    </row>
    <row r="66" spans="1:5" x14ac:dyDescent="0.3">
      <c r="A66" s="240">
        <v>26.4</v>
      </c>
      <c r="B66" s="248">
        <v>0.51800000000000002</v>
      </c>
      <c r="C66" s="241">
        <v>0.63300000000000001</v>
      </c>
      <c r="E66" s="250">
        <v>0.96299999999999997</v>
      </c>
    </row>
    <row r="67" spans="1:5" x14ac:dyDescent="0.3">
      <c r="A67" s="240">
        <v>26.5</v>
      </c>
      <c r="B67" s="248">
        <v>0.51800000000000002</v>
      </c>
      <c r="C67" s="241">
        <v>0.63300000000000001</v>
      </c>
      <c r="E67" s="250">
        <v>0.96299999999999997</v>
      </c>
    </row>
    <row r="68" spans="1:5" x14ac:dyDescent="0.3">
      <c r="A68" s="240">
        <v>26.6</v>
      </c>
      <c r="B68" s="248">
        <v>0.51800000000000002</v>
      </c>
      <c r="C68" s="241">
        <v>0.63300000000000001</v>
      </c>
      <c r="E68" s="250">
        <v>0.96299999999999997</v>
      </c>
    </row>
    <row r="69" spans="1:5" x14ac:dyDescent="0.3">
      <c r="A69" s="240">
        <v>26.7</v>
      </c>
      <c r="B69" s="248">
        <v>0.51800000000000002</v>
      </c>
      <c r="C69" s="241">
        <v>0.63300000000000001</v>
      </c>
      <c r="E69" s="250">
        <v>0.96299999999999997</v>
      </c>
    </row>
    <row r="70" spans="1:5" x14ac:dyDescent="0.3">
      <c r="A70" s="240">
        <v>26.8</v>
      </c>
      <c r="B70" s="248">
        <v>0.51800000000000002</v>
      </c>
      <c r="C70" s="241">
        <v>0.63300000000000001</v>
      </c>
      <c r="E70" s="250">
        <v>0.96299999999999997</v>
      </c>
    </row>
    <row r="71" spans="1:5" x14ac:dyDescent="0.3">
      <c r="A71" s="240">
        <v>26.9</v>
      </c>
      <c r="B71" s="248">
        <v>0.51800000000000002</v>
      </c>
      <c r="C71" s="241">
        <v>0.63300000000000001</v>
      </c>
      <c r="E71" s="250">
        <v>0.96299999999999997</v>
      </c>
    </row>
    <row r="72" spans="1:5" x14ac:dyDescent="0.3">
      <c r="A72" s="240">
        <v>27</v>
      </c>
      <c r="B72" s="241">
        <v>0.501</v>
      </c>
      <c r="C72" s="241">
        <v>0.61799999999999999</v>
      </c>
      <c r="D72" s="242"/>
      <c r="E72" s="249">
        <v>0.96399999999999997</v>
      </c>
    </row>
    <row r="73" spans="1:5" x14ac:dyDescent="0.3">
      <c r="A73" s="240">
        <v>27.1</v>
      </c>
      <c r="B73" s="248">
        <v>0.501</v>
      </c>
      <c r="C73" s="241">
        <v>0.61799999999999999</v>
      </c>
      <c r="E73" s="250">
        <v>0.96399999999999997</v>
      </c>
    </row>
    <row r="74" spans="1:5" x14ac:dyDescent="0.3">
      <c r="A74" s="240">
        <v>27.2</v>
      </c>
      <c r="B74" s="248">
        <v>0.501</v>
      </c>
      <c r="C74" s="241">
        <v>0.61799999999999999</v>
      </c>
      <c r="E74" s="250">
        <v>0.96399999999999997</v>
      </c>
    </row>
    <row r="75" spans="1:5" x14ac:dyDescent="0.3">
      <c r="A75" s="240">
        <v>27.3</v>
      </c>
      <c r="B75" s="248">
        <v>0.501</v>
      </c>
      <c r="C75" s="241">
        <v>0.61799999999999999</v>
      </c>
      <c r="E75" s="250">
        <v>0.96399999999999997</v>
      </c>
    </row>
    <row r="76" spans="1:5" x14ac:dyDescent="0.3">
      <c r="A76" s="240">
        <v>27.4</v>
      </c>
      <c r="B76" s="248">
        <v>0.501</v>
      </c>
      <c r="C76" s="241">
        <v>0.61799999999999999</v>
      </c>
      <c r="E76" s="250">
        <v>0.96399999999999997</v>
      </c>
    </row>
    <row r="77" spans="1:5" x14ac:dyDescent="0.3">
      <c r="A77" s="240">
        <v>27.5</v>
      </c>
      <c r="B77" s="248">
        <v>0.501</v>
      </c>
      <c r="C77" s="241">
        <v>0.61799999999999999</v>
      </c>
      <c r="E77" s="250">
        <v>0.96399999999999997</v>
      </c>
    </row>
    <row r="78" spans="1:5" x14ac:dyDescent="0.3">
      <c r="A78" s="240">
        <v>27.6</v>
      </c>
      <c r="B78" s="248">
        <v>0.501</v>
      </c>
      <c r="C78" s="241">
        <v>0.61799999999999999</v>
      </c>
      <c r="E78" s="250">
        <v>0.96399999999999997</v>
      </c>
    </row>
    <row r="79" spans="1:5" x14ac:dyDescent="0.3">
      <c r="A79" s="240">
        <v>27.7</v>
      </c>
      <c r="B79" s="248">
        <v>0.501</v>
      </c>
      <c r="C79" s="241">
        <v>0.61799999999999999</v>
      </c>
      <c r="E79" s="250">
        <v>0.96399999999999997</v>
      </c>
    </row>
    <row r="80" spans="1:5" x14ac:dyDescent="0.3">
      <c r="A80" s="240">
        <v>27.8</v>
      </c>
      <c r="B80" s="248">
        <v>0.501</v>
      </c>
      <c r="C80" s="241">
        <v>0.61799999999999999</v>
      </c>
      <c r="E80" s="250">
        <v>0.96399999999999997</v>
      </c>
    </row>
    <row r="81" spans="1:5" x14ac:dyDescent="0.3">
      <c r="A81" s="240">
        <v>27.9</v>
      </c>
      <c r="B81" s="248">
        <v>0.501</v>
      </c>
      <c r="C81" s="241">
        <v>0.61799999999999999</v>
      </c>
      <c r="E81" s="250">
        <v>0.96399999999999997</v>
      </c>
    </row>
    <row r="82" spans="1:5" x14ac:dyDescent="0.3">
      <c r="A82" s="240">
        <v>28</v>
      </c>
      <c r="B82" s="241">
        <v>0.48599999999999999</v>
      </c>
      <c r="C82" s="241">
        <v>0.60899999999999999</v>
      </c>
      <c r="D82" s="242"/>
      <c r="E82" s="249">
        <v>0.96099999999999997</v>
      </c>
    </row>
    <row r="83" spans="1:5" x14ac:dyDescent="0.3">
      <c r="A83" s="240">
        <v>28.1</v>
      </c>
      <c r="B83" s="248">
        <v>0.48599999999999999</v>
      </c>
      <c r="C83" s="241">
        <v>0.60899999999999999</v>
      </c>
      <c r="E83" s="250">
        <v>0.96099999999999997</v>
      </c>
    </row>
    <row r="84" spans="1:5" x14ac:dyDescent="0.3">
      <c r="A84" s="240">
        <v>28.2</v>
      </c>
      <c r="B84" s="248">
        <v>0.48599999999999999</v>
      </c>
      <c r="C84" s="241">
        <v>0.60899999999999999</v>
      </c>
      <c r="E84" s="250">
        <v>0.96099999999999997</v>
      </c>
    </row>
    <row r="85" spans="1:5" x14ac:dyDescent="0.3">
      <c r="A85" s="240">
        <v>28.3</v>
      </c>
      <c r="B85" s="248">
        <v>0.48599999999999999</v>
      </c>
      <c r="C85" s="241">
        <v>0.60899999999999999</v>
      </c>
      <c r="E85" s="250">
        <v>0.96099999999999997</v>
      </c>
    </row>
    <row r="86" spans="1:5" x14ac:dyDescent="0.3">
      <c r="A86" s="240">
        <v>28.4</v>
      </c>
      <c r="B86" s="248">
        <v>0.48599999999999999</v>
      </c>
      <c r="C86" s="241">
        <v>0.60899999999999999</v>
      </c>
      <c r="E86" s="250">
        <v>0.96099999999999997</v>
      </c>
    </row>
    <row r="87" spans="1:5" x14ac:dyDescent="0.3">
      <c r="A87" s="240">
        <v>28.5</v>
      </c>
      <c r="B87" s="248">
        <v>0.48599999999999999</v>
      </c>
      <c r="C87" s="241">
        <v>0.60899999999999999</v>
      </c>
      <c r="E87" s="250">
        <v>0.96099999999999997</v>
      </c>
    </row>
    <row r="88" spans="1:5" x14ac:dyDescent="0.3">
      <c r="A88" s="240">
        <v>28.6</v>
      </c>
      <c r="B88" s="248">
        <v>0.48599999999999999</v>
      </c>
      <c r="C88" s="241">
        <v>0.60899999999999999</v>
      </c>
      <c r="E88" s="250">
        <v>0.96099999999999997</v>
      </c>
    </row>
    <row r="89" spans="1:5" x14ac:dyDescent="0.3">
      <c r="A89" s="240">
        <v>28.7</v>
      </c>
      <c r="B89" s="248">
        <v>0.48599999999999999</v>
      </c>
      <c r="C89" s="241">
        <v>0.60899999999999999</v>
      </c>
      <c r="E89" s="250">
        <v>0.96099999999999997</v>
      </c>
    </row>
    <row r="90" spans="1:5" x14ac:dyDescent="0.3">
      <c r="A90" s="240">
        <v>28.8</v>
      </c>
      <c r="B90" s="248">
        <v>0.48599999999999999</v>
      </c>
      <c r="C90" s="241">
        <v>0.60899999999999999</v>
      </c>
      <c r="E90" s="250">
        <v>0.96099999999999997</v>
      </c>
    </row>
    <row r="91" spans="1:5" x14ac:dyDescent="0.3">
      <c r="A91" s="240">
        <v>28.9</v>
      </c>
      <c r="B91" s="248">
        <v>0.48599999999999999</v>
      </c>
      <c r="C91" s="241">
        <v>0.60899999999999999</v>
      </c>
      <c r="E91" s="250">
        <v>0.96099999999999997</v>
      </c>
    </row>
    <row r="92" spans="1:5" x14ac:dyDescent="0.3">
      <c r="A92" s="240">
        <v>29</v>
      </c>
      <c r="B92" s="241">
        <v>0.47099999999999997</v>
      </c>
      <c r="C92" s="241">
        <v>0.58799999999999997</v>
      </c>
      <c r="D92" s="242"/>
      <c r="E92" s="249">
        <v>0.95399999999999996</v>
      </c>
    </row>
    <row r="93" spans="1:5" x14ac:dyDescent="0.3">
      <c r="A93" s="240">
        <v>29.1</v>
      </c>
      <c r="B93" s="248">
        <v>0.47099999999999997</v>
      </c>
      <c r="C93" s="241">
        <v>0.58799999999999997</v>
      </c>
      <c r="E93" s="250">
        <v>0.95399999999999996</v>
      </c>
    </row>
    <row r="94" spans="1:5" x14ac:dyDescent="0.3">
      <c r="A94" s="240">
        <v>29.2</v>
      </c>
      <c r="B94" s="248">
        <v>0.47099999999999997</v>
      </c>
      <c r="C94" s="241">
        <v>0.58799999999999997</v>
      </c>
      <c r="E94" s="250">
        <v>0.95399999999999996</v>
      </c>
    </row>
    <row r="95" spans="1:5" x14ac:dyDescent="0.3">
      <c r="A95" s="240">
        <v>29.3</v>
      </c>
      <c r="B95" s="248">
        <v>0.47099999999999997</v>
      </c>
      <c r="C95" s="241">
        <v>0.58799999999999997</v>
      </c>
      <c r="E95" s="250">
        <v>0.95399999999999996</v>
      </c>
    </row>
    <row r="96" spans="1:5" x14ac:dyDescent="0.3">
      <c r="A96" s="240">
        <v>29.4</v>
      </c>
      <c r="B96" s="248">
        <v>0.47099999999999997</v>
      </c>
      <c r="C96" s="241">
        <v>0.58799999999999997</v>
      </c>
      <c r="E96" s="250">
        <v>0.95399999999999996</v>
      </c>
    </row>
    <row r="97" spans="1:5" x14ac:dyDescent="0.3">
      <c r="A97" s="240">
        <v>29.5</v>
      </c>
      <c r="B97" s="248">
        <v>0.47099999999999997</v>
      </c>
      <c r="C97" s="241">
        <v>0.58799999999999997</v>
      </c>
      <c r="E97" s="250">
        <v>0.95399999999999996</v>
      </c>
    </row>
    <row r="98" spans="1:5" x14ac:dyDescent="0.3">
      <c r="A98" s="240">
        <v>29.6</v>
      </c>
      <c r="B98" s="248">
        <v>0.47099999999999997</v>
      </c>
      <c r="C98" s="241">
        <v>0.58799999999999997</v>
      </c>
      <c r="E98" s="250">
        <v>0.95399999999999996</v>
      </c>
    </row>
    <row r="99" spans="1:5" x14ac:dyDescent="0.3">
      <c r="A99" s="240">
        <v>29.7</v>
      </c>
      <c r="B99" s="248">
        <v>0.47099999999999997</v>
      </c>
      <c r="C99" s="241">
        <v>0.58799999999999997</v>
      </c>
      <c r="E99" s="250">
        <v>0.95399999999999996</v>
      </c>
    </row>
    <row r="100" spans="1:5" x14ac:dyDescent="0.3">
      <c r="A100" s="240">
        <v>29.8</v>
      </c>
      <c r="B100" s="248">
        <v>0.47099999999999997</v>
      </c>
      <c r="C100" s="241">
        <v>0.58799999999999997</v>
      </c>
      <c r="E100" s="250">
        <v>0.95399999999999996</v>
      </c>
    </row>
    <row r="101" spans="1:5" x14ac:dyDescent="0.3">
      <c r="A101" s="240">
        <v>29.9</v>
      </c>
      <c r="B101" s="248">
        <v>0.47099999999999997</v>
      </c>
      <c r="C101" s="241">
        <v>0.58799999999999997</v>
      </c>
      <c r="E101" s="250">
        <v>0.95399999999999996</v>
      </c>
    </row>
    <row r="102" spans="1:5" x14ac:dyDescent="0.3">
      <c r="A102" s="240">
        <v>30</v>
      </c>
      <c r="B102" s="241">
        <v>0.45500000000000002</v>
      </c>
      <c r="C102" s="241">
        <v>0.57899999999999996</v>
      </c>
      <c r="D102" s="242"/>
      <c r="E102" s="249">
        <v>0.95299999999999996</v>
      </c>
    </row>
    <row r="103" spans="1:5" x14ac:dyDescent="0.3">
      <c r="A103" s="240">
        <v>30.1</v>
      </c>
      <c r="B103" s="248">
        <v>0.45500000000000002</v>
      </c>
      <c r="C103" s="241">
        <v>0.57899999999999996</v>
      </c>
      <c r="E103" s="250">
        <v>0.95299999999999996</v>
      </c>
    </row>
    <row r="104" spans="1:5" x14ac:dyDescent="0.3">
      <c r="A104" s="240">
        <v>30.2</v>
      </c>
      <c r="B104" s="248">
        <v>0.45500000000000002</v>
      </c>
      <c r="C104" s="241">
        <v>0.57899999999999996</v>
      </c>
      <c r="E104" s="250">
        <v>0.95299999999999996</v>
      </c>
    </row>
    <row r="105" spans="1:5" x14ac:dyDescent="0.3">
      <c r="A105" s="240">
        <v>30.3</v>
      </c>
      <c r="B105" s="248">
        <v>0.45500000000000002</v>
      </c>
      <c r="C105" s="241">
        <v>0.57899999999999996</v>
      </c>
      <c r="E105" s="250">
        <v>0.95299999999999996</v>
      </c>
    </row>
    <row r="106" spans="1:5" x14ac:dyDescent="0.3">
      <c r="A106" s="240">
        <v>30.4</v>
      </c>
      <c r="B106" s="248">
        <v>0.45500000000000002</v>
      </c>
      <c r="C106" s="241">
        <v>0.57899999999999996</v>
      </c>
      <c r="E106" s="250">
        <v>0.95299999999999996</v>
      </c>
    </row>
    <row r="107" spans="1:5" x14ac:dyDescent="0.3">
      <c r="A107" s="240">
        <v>30.5</v>
      </c>
      <c r="B107" s="248">
        <v>0.45500000000000002</v>
      </c>
      <c r="C107" s="241">
        <v>0.57899999999999996</v>
      </c>
      <c r="E107" s="250">
        <v>0.95299999999999996</v>
      </c>
    </row>
    <row r="108" spans="1:5" x14ac:dyDescent="0.3">
      <c r="A108" s="240">
        <v>30.6</v>
      </c>
      <c r="B108" s="248">
        <v>0.45500000000000002</v>
      </c>
      <c r="C108" s="241">
        <v>0.57899999999999996</v>
      </c>
      <c r="E108" s="250">
        <v>0.95299999999999996</v>
      </c>
    </row>
    <row r="109" spans="1:5" x14ac:dyDescent="0.3">
      <c r="A109" s="240">
        <v>30.7</v>
      </c>
      <c r="B109" s="248">
        <v>0.45500000000000002</v>
      </c>
      <c r="C109" s="241">
        <v>0.57899999999999996</v>
      </c>
      <c r="E109" s="250">
        <v>0.95299999999999996</v>
      </c>
    </row>
    <row r="110" spans="1:5" x14ac:dyDescent="0.3">
      <c r="A110" s="240">
        <v>30.8</v>
      </c>
      <c r="B110" s="248">
        <v>0.45500000000000002</v>
      </c>
      <c r="C110" s="241">
        <v>0.57899999999999996</v>
      </c>
      <c r="E110" s="250">
        <v>0.95299999999999996</v>
      </c>
    </row>
    <row r="111" spans="1:5" x14ac:dyDescent="0.3">
      <c r="A111" s="240">
        <v>30.9</v>
      </c>
      <c r="B111" s="248">
        <v>0.45500000000000002</v>
      </c>
      <c r="C111" s="241">
        <v>0.57899999999999996</v>
      </c>
      <c r="E111" s="250">
        <v>0.95299999999999996</v>
      </c>
    </row>
    <row r="112" spans="1:5" x14ac:dyDescent="0.3">
      <c r="A112" s="240">
        <v>31</v>
      </c>
      <c r="B112" s="241">
        <v>0.435</v>
      </c>
      <c r="C112" s="241">
        <v>0.55700000000000005</v>
      </c>
      <c r="D112" s="242"/>
      <c r="E112" s="249">
        <v>0.94499999999999995</v>
      </c>
    </row>
    <row r="113" spans="1:5" x14ac:dyDescent="0.3">
      <c r="A113" s="240">
        <v>31.1</v>
      </c>
      <c r="B113" s="248">
        <v>0.435</v>
      </c>
      <c r="C113" s="241">
        <v>0.55700000000000005</v>
      </c>
      <c r="E113" s="250">
        <v>0.94499999999999995</v>
      </c>
    </row>
    <row r="114" spans="1:5" x14ac:dyDescent="0.3">
      <c r="A114" s="240">
        <v>31.2</v>
      </c>
      <c r="B114" s="248">
        <v>0.435</v>
      </c>
      <c r="C114" s="241">
        <v>0.55700000000000005</v>
      </c>
      <c r="E114" s="250">
        <v>0.94499999999999995</v>
      </c>
    </row>
    <row r="115" spans="1:5" x14ac:dyDescent="0.3">
      <c r="A115" s="240">
        <v>31.3</v>
      </c>
      <c r="B115" s="248">
        <v>0.435</v>
      </c>
      <c r="C115" s="241">
        <v>0.55700000000000005</v>
      </c>
      <c r="E115" s="250">
        <v>0.94499999999999995</v>
      </c>
    </row>
    <row r="116" spans="1:5" x14ac:dyDescent="0.3">
      <c r="A116" s="240">
        <v>31.4</v>
      </c>
      <c r="B116" s="248">
        <v>0.435</v>
      </c>
      <c r="C116" s="241">
        <v>0.55700000000000005</v>
      </c>
      <c r="E116" s="250">
        <v>0.94499999999999995</v>
      </c>
    </row>
    <row r="117" spans="1:5" x14ac:dyDescent="0.3">
      <c r="A117" s="240">
        <v>31.5</v>
      </c>
      <c r="B117" s="248">
        <v>0.435</v>
      </c>
      <c r="C117" s="241">
        <v>0.55700000000000005</v>
      </c>
      <c r="E117" s="250">
        <v>0.94499999999999995</v>
      </c>
    </row>
    <row r="118" spans="1:5" x14ac:dyDescent="0.3">
      <c r="A118" s="240">
        <v>31.6</v>
      </c>
      <c r="B118" s="248">
        <v>0.435</v>
      </c>
      <c r="C118" s="241">
        <v>0.55700000000000005</v>
      </c>
      <c r="E118" s="250">
        <v>0.94499999999999995</v>
      </c>
    </row>
    <row r="119" spans="1:5" x14ac:dyDescent="0.3">
      <c r="A119" s="240">
        <v>31.7</v>
      </c>
      <c r="B119" s="248">
        <v>0.435</v>
      </c>
      <c r="C119" s="241">
        <v>0.55700000000000005</v>
      </c>
      <c r="E119" s="250">
        <v>0.94499999999999995</v>
      </c>
    </row>
    <row r="120" spans="1:5" x14ac:dyDescent="0.3">
      <c r="A120" s="240">
        <v>31.8</v>
      </c>
      <c r="B120" s="248">
        <v>0.435</v>
      </c>
      <c r="C120" s="241">
        <v>0.55700000000000005</v>
      </c>
      <c r="E120" s="250">
        <v>0.94499999999999995</v>
      </c>
    </row>
    <row r="121" spans="1:5" x14ac:dyDescent="0.3">
      <c r="A121" s="240">
        <v>31.9</v>
      </c>
      <c r="B121" s="248">
        <v>0.435</v>
      </c>
      <c r="C121" s="241">
        <v>0.55700000000000005</v>
      </c>
      <c r="E121" s="250">
        <v>0.94499999999999995</v>
      </c>
    </row>
    <row r="122" spans="1:5" x14ac:dyDescent="0.3">
      <c r="A122" s="240">
        <v>32</v>
      </c>
      <c r="B122" s="241">
        <v>0.41199999999999998</v>
      </c>
      <c r="C122" s="241">
        <v>0.54600000000000004</v>
      </c>
      <c r="D122" s="242"/>
      <c r="E122" s="249">
        <v>0.94199999999999995</v>
      </c>
    </row>
    <row r="123" spans="1:5" x14ac:dyDescent="0.3">
      <c r="A123" s="240">
        <v>32.1</v>
      </c>
      <c r="B123" s="248">
        <v>0.41199999999999998</v>
      </c>
      <c r="C123" s="241">
        <v>0.54600000000000004</v>
      </c>
      <c r="E123" s="250">
        <v>0.94199999999999995</v>
      </c>
    </row>
    <row r="124" spans="1:5" x14ac:dyDescent="0.3">
      <c r="A124" s="240">
        <v>32.200000000000003</v>
      </c>
      <c r="B124" s="248">
        <v>0.41199999999999998</v>
      </c>
      <c r="C124" s="241">
        <v>0.54600000000000004</v>
      </c>
      <c r="E124" s="250">
        <v>0.94199999999999995</v>
      </c>
    </row>
    <row r="125" spans="1:5" x14ac:dyDescent="0.3">
      <c r="A125" s="240">
        <v>32.299999999999997</v>
      </c>
      <c r="B125" s="248">
        <v>0.41199999999999998</v>
      </c>
      <c r="C125" s="241">
        <v>0.54600000000000004</v>
      </c>
      <c r="E125" s="250">
        <v>0.94199999999999995</v>
      </c>
    </row>
    <row r="126" spans="1:5" x14ac:dyDescent="0.3">
      <c r="A126" s="240">
        <v>32.4</v>
      </c>
      <c r="B126" s="248">
        <v>0.41199999999999998</v>
      </c>
      <c r="C126" s="241">
        <v>0.54600000000000004</v>
      </c>
      <c r="E126" s="250">
        <v>0.94199999999999995</v>
      </c>
    </row>
    <row r="127" spans="1:5" x14ac:dyDescent="0.3">
      <c r="A127" s="240">
        <v>32.5</v>
      </c>
      <c r="B127" s="248">
        <v>0.41199999999999998</v>
      </c>
      <c r="C127" s="241">
        <v>0.54600000000000004</v>
      </c>
      <c r="E127" s="250">
        <v>0.94199999999999995</v>
      </c>
    </row>
    <row r="128" spans="1:5" x14ac:dyDescent="0.3">
      <c r="A128" s="240">
        <v>32.6</v>
      </c>
      <c r="B128" s="248">
        <v>0.41199999999999998</v>
      </c>
      <c r="C128" s="241">
        <v>0.54600000000000004</v>
      </c>
      <c r="E128" s="250">
        <v>0.94199999999999995</v>
      </c>
    </row>
    <row r="129" spans="1:5" x14ac:dyDescent="0.3">
      <c r="A129" s="240">
        <v>32.700000000000003</v>
      </c>
      <c r="B129" s="248">
        <v>0.41199999999999998</v>
      </c>
      <c r="C129" s="241">
        <v>0.54600000000000004</v>
      </c>
      <c r="E129" s="250">
        <v>0.94199999999999995</v>
      </c>
    </row>
    <row r="130" spans="1:5" x14ac:dyDescent="0.3">
      <c r="A130" s="240">
        <v>32.799999999999997</v>
      </c>
      <c r="B130" s="248">
        <v>0.41199999999999998</v>
      </c>
      <c r="C130" s="241">
        <v>0.54600000000000004</v>
      </c>
      <c r="E130" s="250">
        <v>0.94199999999999995</v>
      </c>
    </row>
    <row r="131" spans="1:5" x14ac:dyDescent="0.3">
      <c r="A131" s="240">
        <v>32.9</v>
      </c>
      <c r="B131" s="248">
        <v>0.41199999999999998</v>
      </c>
      <c r="C131" s="241">
        <v>0.54600000000000004</v>
      </c>
      <c r="E131" s="250">
        <v>0.94199999999999995</v>
      </c>
    </row>
    <row r="132" spans="1:5" x14ac:dyDescent="0.3">
      <c r="A132" s="240">
        <v>33</v>
      </c>
      <c r="B132" s="241">
        <v>0.38700000000000001</v>
      </c>
      <c r="C132" s="241">
        <v>0.51500000000000001</v>
      </c>
      <c r="D132" s="242"/>
      <c r="E132" s="249">
        <v>0.94199999999999995</v>
      </c>
    </row>
    <row r="133" spans="1:5" x14ac:dyDescent="0.3">
      <c r="A133" s="240">
        <v>33.1</v>
      </c>
      <c r="B133" s="248">
        <v>0.38700000000000001</v>
      </c>
      <c r="C133" s="241">
        <v>0.51500000000000001</v>
      </c>
      <c r="E133" s="250">
        <v>0.94199999999999995</v>
      </c>
    </row>
    <row r="134" spans="1:5" x14ac:dyDescent="0.3">
      <c r="A134" s="240">
        <v>33.200000000000003</v>
      </c>
      <c r="B134" s="248">
        <v>0.38700000000000001</v>
      </c>
      <c r="C134" s="241">
        <v>0.51500000000000001</v>
      </c>
      <c r="E134" s="250">
        <v>0.94199999999999995</v>
      </c>
    </row>
    <row r="135" spans="1:5" x14ac:dyDescent="0.3">
      <c r="A135" s="240">
        <v>33.299999999999997</v>
      </c>
      <c r="B135" s="248">
        <v>0.38700000000000001</v>
      </c>
      <c r="C135" s="241">
        <v>0.51500000000000001</v>
      </c>
      <c r="E135" s="250">
        <v>0.94199999999999995</v>
      </c>
    </row>
    <row r="136" spans="1:5" x14ac:dyDescent="0.3">
      <c r="A136" s="240">
        <v>33.4</v>
      </c>
      <c r="B136" s="248">
        <v>0.38700000000000001</v>
      </c>
      <c r="C136" s="241">
        <v>0.51500000000000001</v>
      </c>
      <c r="E136" s="250">
        <v>0.94199999999999995</v>
      </c>
    </row>
    <row r="137" spans="1:5" x14ac:dyDescent="0.3">
      <c r="A137" s="240">
        <v>33.5</v>
      </c>
      <c r="B137" s="248">
        <v>0.38700000000000001</v>
      </c>
      <c r="C137" s="241">
        <v>0.51500000000000001</v>
      </c>
      <c r="E137" s="250">
        <v>0.94199999999999995</v>
      </c>
    </row>
    <row r="138" spans="1:5" x14ac:dyDescent="0.3">
      <c r="A138" s="240">
        <v>33.6</v>
      </c>
      <c r="B138" s="248">
        <v>0.38700000000000001</v>
      </c>
      <c r="C138" s="241">
        <v>0.51500000000000001</v>
      </c>
      <c r="E138" s="250">
        <v>0.94199999999999995</v>
      </c>
    </row>
    <row r="139" spans="1:5" x14ac:dyDescent="0.3">
      <c r="A139" s="240">
        <v>33.700000000000003</v>
      </c>
      <c r="B139" s="248">
        <v>0.38700000000000001</v>
      </c>
      <c r="C139" s="241">
        <v>0.51500000000000001</v>
      </c>
      <c r="E139" s="250">
        <v>0.94199999999999995</v>
      </c>
    </row>
    <row r="140" spans="1:5" x14ac:dyDescent="0.3">
      <c r="A140" s="240">
        <v>33.799999999999997</v>
      </c>
      <c r="B140" s="248">
        <v>0.38700000000000001</v>
      </c>
      <c r="C140" s="241">
        <v>0.51500000000000001</v>
      </c>
      <c r="E140" s="250">
        <v>0.94199999999999995</v>
      </c>
    </row>
    <row r="141" spans="1:5" x14ac:dyDescent="0.3">
      <c r="A141" s="240">
        <v>33.9</v>
      </c>
      <c r="B141" s="248">
        <v>0.38700000000000001</v>
      </c>
      <c r="C141" s="241">
        <v>0.51500000000000001</v>
      </c>
      <c r="E141" s="250">
        <v>0.94199999999999995</v>
      </c>
    </row>
    <row r="142" spans="1:5" x14ac:dyDescent="0.3">
      <c r="A142" s="240">
        <v>34</v>
      </c>
      <c r="B142" s="241">
        <v>0.36299999999999999</v>
      </c>
      <c r="C142" s="241">
        <v>0.505</v>
      </c>
      <c r="D142" s="242"/>
      <c r="E142" s="249">
        <v>0.92900000000000005</v>
      </c>
    </row>
    <row r="143" spans="1:5" x14ac:dyDescent="0.3">
      <c r="A143" s="240">
        <v>34.1</v>
      </c>
      <c r="B143" s="248">
        <v>0.36299999999999999</v>
      </c>
      <c r="C143" s="241">
        <v>0.505</v>
      </c>
      <c r="E143" s="250">
        <v>0.92900000000000005</v>
      </c>
    </row>
    <row r="144" spans="1:5" x14ac:dyDescent="0.3">
      <c r="A144" s="240">
        <v>34.200000000000003</v>
      </c>
      <c r="B144" s="248">
        <v>0.36299999999999999</v>
      </c>
      <c r="C144" s="241">
        <v>0.505</v>
      </c>
      <c r="E144" s="250">
        <v>0.92900000000000005</v>
      </c>
    </row>
    <row r="145" spans="1:5" x14ac:dyDescent="0.3">
      <c r="A145" s="240">
        <v>34.299999999999997</v>
      </c>
      <c r="B145" s="248">
        <v>0.36299999999999999</v>
      </c>
      <c r="C145" s="241">
        <v>0.505</v>
      </c>
      <c r="E145" s="250">
        <v>0.92900000000000005</v>
      </c>
    </row>
    <row r="146" spans="1:5" x14ac:dyDescent="0.3">
      <c r="A146" s="240">
        <v>34.4</v>
      </c>
      <c r="B146" s="248">
        <v>0.36299999999999999</v>
      </c>
      <c r="C146" s="241">
        <v>0.505</v>
      </c>
      <c r="E146" s="250">
        <v>0.92900000000000005</v>
      </c>
    </row>
    <row r="147" spans="1:5" x14ac:dyDescent="0.3">
      <c r="A147" s="240">
        <v>34.5</v>
      </c>
      <c r="B147" s="248">
        <v>0.36299999999999999</v>
      </c>
      <c r="C147" s="241">
        <v>0.505</v>
      </c>
      <c r="E147" s="250">
        <v>0.92900000000000005</v>
      </c>
    </row>
    <row r="148" spans="1:5" x14ac:dyDescent="0.3">
      <c r="A148" s="240">
        <v>34.6</v>
      </c>
      <c r="B148" s="248">
        <v>0.36299999999999999</v>
      </c>
      <c r="C148" s="241">
        <v>0.505</v>
      </c>
      <c r="E148" s="250">
        <v>0.92900000000000005</v>
      </c>
    </row>
    <row r="149" spans="1:5" x14ac:dyDescent="0.3">
      <c r="A149" s="240">
        <v>34.700000000000003</v>
      </c>
      <c r="B149" s="248">
        <v>0.36299999999999999</v>
      </c>
      <c r="C149" s="241">
        <v>0.505</v>
      </c>
      <c r="E149" s="250">
        <v>0.92900000000000005</v>
      </c>
    </row>
    <row r="150" spans="1:5" x14ac:dyDescent="0.3">
      <c r="A150" s="240">
        <v>34.799999999999997</v>
      </c>
      <c r="B150" s="248">
        <v>0.36299999999999999</v>
      </c>
      <c r="C150" s="241">
        <v>0.505</v>
      </c>
      <c r="E150" s="250">
        <v>0.92900000000000005</v>
      </c>
    </row>
    <row r="151" spans="1:5" x14ac:dyDescent="0.3">
      <c r="A151" s="240">
        <v>34.9</v>
      </c>
      <c r="B151" s="248">
        <v>0.36299999999999999</v>
      </c>
      <c r="C151" s="241">
        <v>0.505</v>
      </c>
      <c r="E151" s="250">
        <v>0.92900000000000005</v>
      </c>
    </row>
    <row r="152" spans="1:5" x14ac:dyDescent="0.3">
      <c r="A152" s="240">
        <v>35</v>
      </c>
      <c r="B152" s="241">
        <v>0.34300000000000003</v>
      </c>
      <c r="C152" s="241">
        <v>0.49</v>
      </c>
      <c r="D152" s="242"/>
      <c r="E152" s="249">
        <v>0.92400000000000004</v>
      </c>
    </row>
    <row r="153" spans="1:5" x14ac:dyDescent="0.3">
      <c r="A153" s="240">
        <v>35.1</v>
      </c>
      <c r="B153" s="248">
        <v>0.34300000000000003</v>
      </c>
      <c r="C153" s="241">
        <v>0.49</v>
      </c>
      <c r="E153" s="250">
        <v>0.92400000000000004</v>
      </c>
    </row>
    <row r="154" spans="1:5" x14ac:dyDescent="0.3">
      <c r="A154" s="240">
        <v>35.200000000000003</v>
      </c>
      <c r="B154" s="248">
        <v>0.34300000000000003</v>
      </c>
      <c r="C154" s="241">
        <v>0.49</v>
      </c>
      <c r="E154" s="250">
        <v>0.92400000000000004</v>
      </c>
    </row>
    <row r="155" spans="1:5" x14ac:dyDescent="0.3">
      <c r="A155" s="240">
        <v>35.299999999999997</v>
      </c>
      <c r="B155" s="248">
        <v>0.34300000000000003</v>
      </c>
      <c r="C155" s="241">
        <v>0.49</v>
      </c>
      <c r="E155" s="250">
        <v>0.92400000000000004</v>
      </c>
    </row>
    <row r="156" spans="1:5" x14ac:dyDescent="0.3">
      <c r="A156" s="240">
        <v>35.4</v>
      </c>
      <c r="B156" s="248">
        <v>0.34300000000000003</v>
      </c>
      <c r="C156" s="241">
        <v>0.49</v>
      </c>
      <c r="E156" s="250">
        <v>0.92400000000000004</v>
      </c>
    </row>
    <row r="157" spans="1:5" x14ac:dyDescent="0.3">
      <c r="A157" s="240">
        <v>35.5</v>
      </c>
      <c r="B157" s="248">
        <v>0.34300000000000003</v>
      </c>
      <c r="C157" s="241">
        <v>0.49</v>
      </c>
      <c r="E157" s="250">
        <v>0.92400000000000004</v>
      </c>
    </row>
    <row r="158" spans="1:5" x14ac:dyDescent="0.3">
      <c r="A158" s="240">
        <v>35.6</v>
      </c>
      <c r="B158" s="248">
        <v>0.34300000000000003</v>
      </c>
      <c r="C158" s="241">
        <v>0.49</v>
      </c>
      <c r="E158" s="250">
        <v>0.92400000000000004</v>
      </c>
    </row>
    <row r="159" spans="1:5" x14ac:dyDescent="0.3">
      <c r="A159" s="240">
        <v>35.700000000000003</v>
      </c>
      <c r="B159" s="248">
        <v>0.34300000000000003</v>
      </c>
      <c r="C159" s="241">
        <v>0.49</v>
      </c>
      <c r="E159" s="250">
        <v>0.92400000000000004</v>
      </c>
    </row>
    <row r="160" spans="1:5" x14ac:dyDescent="0.3">
      <c r="A160" s="240">
        <v>35.799999999999997</v>
      </c>
      <c r="B160" s="248">
        <v>0.34300000000000003</v>
      </c>
      <c r="C160" s="241">
        <v>0.49</v>
      </c>
      <c r="E160" s="250">
        <v>0.92400000000000004</v>
      </c>
    </row>
    <row r="161" spans="1:5" x14ac:dyDescent="0.3">
      <c r="A161" s="240">
        <v>35.9</v>
      </c>
      <c r="B161" s="248">
        <v>0.34300000000000003</v>
      </c>
      <c r="C161" s="241">
        <v>0.49</v>
      </c>
      <c r="E161" s="250">
        <v>0.92400000000000004</v>
      </c>
    </row>
    <row r="162" spans="1:5" x14ac:dyDescent="0.3">
      <c r="A162" s="240">
        <v>36</v>
      </c>
      <c r="B162" s="241">
        <v>0.32800000000000001</v>
      </c>
      <c r="C162" s="241">
        <v>0.47799999999999998</v>
      </c>
      <c r="D162" s="242"/>
      <c r="E162" s="249">
        <v>0.91900000000000004</v>
      </c>
    </row>
    <row r="163" spans="1:5" x14ac:dyDescent="0.3">
      <c r="A163" s="240">
        <v>36.1</v>
      </c>
      <c r="B163" s="248">
        <v>0.32800000000000001</v>
      </c>
      <c r="C163" s="241">
        <v>0.47799999999999998</v>
      </c>
      <c r="E163" s="250">
        <v>0.91900000000000004</v>
      </c>
    </row>
    <row r="164" spans="1:5" x14ac:dyDescent="0.3">
      <c r="A164" s="240">
        <v>36.200000000000003</v>
      </c>
      <c r="B164" s="248">
        <v>0.32800000000000001</v>
      </c>
      <c r="C164" s="241">
        <v>0.47799999999999998</v>
      </c>
      <c r="E164" s="250">
        <v>0.91900000000000004</v>
      </c>
    </row>
    <row r="165" spans="1:5" x14ac:dyDescent="0.3">
      <c r="A165" s="240">
        <v>36.299999999999997</v>
      </c>
      <c r="B165" s="248">
        <v>0.32800000000000001</v>
      </c>
      <c r="C165" s="241">
        <v>0.47799999999999998</v>
      </c>
      <c r="E165" s="250">
        <v>0.91900000000000004</v>
      </c>
    </row>
    <row r="166" spans="1:5" x14ac:dyDescent="0.3">
      <c r="A166" s="240">
        <v>36.4</v>
      </c>
      <c r="B166" s="248">
        <v>0.32800000000000001</v>
      </c>
      <c r="C166" s="241">
        <v>0.47799999999999998</v>
      </c>
      <c r="E166" s="250">
        <v>0.91900000000000004</v>
      </c>
    </row>
    <row r="167" spans="1:5" x14ac:dyDescent="0.3">
      <c r="A167" s="240">
        <v>36.5</v>
      </c>
      <c r="B167" s="248">
        <v>0.32800000000000001</v>
      </c>
      <c r="C167" s="241">
        <v>0.47799999999999998</v>
      </c>
      <c r="E167" s="250">
        <v>0.91900000000000004</v>
      </c>
    </row>
    <row r="168" spans="1:5" x14ac:dyDescent="0.3">
      <c r="A168" s="240">
        <v>36.6</v>
      </c>
      <c r="B168" s="248">
        <v>0.32800000000000001</v>
      </c>
      <c r="C168" s="241">
        <v>0.47799999999999998</v>
      </c>
      <c r="E168" s="250">
        <v>0.91900000000000004</v>
      </c>
    </row>
    <row r="169" spans="1:5" x14ac:dyDescent="0.3">
      <c r="A169" s="240">
        <v>36.700000000000003</v>
      </c>
      <c r="B169" s="248">
        <v>0.32800000000000001</v>
      </c>
      <c r="C169" s="241">
        <v>0.47799999999999998</v>
      </c>
      <c r="E169" s="250">
        <v>0.91900000000000004</v>
      </c>
    </row>
    <row r="170" spans="1:5" x14ac:dyDescent="0.3">
      <c r="A170" s="240">
        <v>36.799999999999997</v>
      </c>
      <c r="B170" s="248">
        <v>0.32800000000000001</v>
      </c>
      <c r="C170" s="241">
        <v>0.47799999999999998</v>
      </c>
      <c r="E170" s="250">
        <v>0.91900000000000004</v>
      </c>
    </row>
    <row r="171" spans="1:5" x14ac:dyDescent="0.3">
      <c r="A171" s="240">
        <v>36.9</v>
      </c>
      <c r="B171" s="248">
        <v>0.32800000000000001</v>
      </c>
      <c r="C171" s="241">
        <v>0.47799999999999998</v>
      </c>
      <c r="E171" s="250">
        <v>0.91900000000000004</v>
      </c>
    </row>
    <row r="172" spans="1:5" x14ac:dyDescent="0.3">
      <c r="A172" s="240">
        <v>37</v>
      </c>
      <c r="B172" s="241">
        <v>0.32</v>
      </c>
      <c r="C172" s="241">
        <v>0.45600000000000002</v>
      </c>
      <c r="D172" s="242"/>
      <c r="E172" s="249">
        <v>0.90900000000000003</v>
      </c>
    </row>
    <row r="173" spans="1:5" x14ac:dyDescent="0.3">
      <c r="A173" s="240">
        <v>37.1</v>
      </c>
      <c r="B173" s="248">
        <v>0.32</v>
      </c>
      <c r="C173" s="241">
        <v>0.45600000000000002</v>
      </c>
      <c r="E173" s="250">
        <v>0.90900000000000003</v>
      </c>
    </row>
    <row r="174" spans="1:5" x14ac:dyDescent="0.3">
      <c r="A174" s="240">
        <v>37.200000000000003</v>
      </c>
      <c r="B174" s="248">
        <v>0.32</v>
      </c>
      <c r="C174" s="241">
        <v>0.45600000000000002</v>
      </c>
      <c r="E174" s="250">
        <v>0.90900000000000003</v>
      </c>
    </row>
    <row r="175" spans="1:5" x14ac:dyDescent="0.3">
      <c r="A175" s="240">
        <v>37.299999999999997</v>
      </c>
      <c r="B175" s="248">
        <v>0.32</v>
      </c>
      <c r="C175" s="241">
        <v>0.45600000000000002</v>
      </c>
      <c r="E175" s="250">
        <v>0.90900000000000003</v>
      </c>
    </row>
    <row r="176" spans="1:5" x14ac:dyDescent="0.3">
      <c r="A176" s="240">
        <v>37.4</v>
      </c>
      <c r="B176" s="248">
        <v>0.32</v>
      </c>
      <c r="C176" s="241">
        <v>0.45600000000000002</v>
      </c>
      <c r="E176" s="250">
        <v>0.90900000000000003</v>
      </c>
    </row>
    <row r="177" spans="1:5" x14ac:dyDescent="0.3">
      <c r="A177" s="240">
        <v>37.5</v>
      </c>
      <c r="B177" s="248">
        <v>0.32</v>
      </c>
      <c r="C177" s="241">
        <v>0.45600000000000002</v>
      </c>
      <c r="E177" s="250">
        <v>0.90900000000000003</v>
      </c>
    </row>
    <row r="178" spans="1:5" x14ac:dyDescent="0.3">
      <c r="A178" s="240">
        <v>37.6</v>
      </c>
      <c r="B178" s="248">
        <v>0.32</v>
      </c>
      <c r="C178" s="241">
        <v>0.45600000000000002</v>
      </c>
      <c r="E178" s="250">
        <v>0.90900000000000003</v>
      </c>
    </row>
    <row r="179" spans="1:5" x14ac:dyDescent="0.3">
      <c r="A179" s="240">
        <v>37.700000000000003</v>
      </c>
      <c r="B179" s="248">
        <v>0.32</v>
      </c>
      <c r="C179" s="241">
        <v>0.45600000000000002</v>
      </c>
      <c r="E179" s="250">
        <v>0.90900000000000003</v>
      </c>
    </row>
    <row r="180" spans="1:5" x14ac:dyDescent="0.3">
      <c r="A180" s="240">
        <v>37.799999999999997</v>
      </c>
      <c r="B180" s="248">
        <v>0.32</v>
      </c>
      <c r="C180" s="241">
        <v>0.45600000000000002</v>
      </c>
      <c r="E180" s="250">
        <v>0.90900000000000003</v>
      </c>
    </row>
    <row r="181" spans="1:5" x14ac:dyDescent="0.3">
      <c r="A181" s="240">
        <v>37.9</v>
      </c>
      <c r="B181" s="248">
        <v>0.32</v>
      </c>
      <c r="C181" s="241">
        <v>0.45600000000000002</v>
      </c>
      <c r="E181" s="250">
        <v>0.90900000000000003</v>
      </c>
    </row>
    <row r="182" spans="1:5" x14ac:dyDescent="0.3">
      <c r="A182" s="240">
        <v>38</v>
      </c>
      <c r="B182" s="241">
        <v>0.317</v>
      </c>
      <c r="C182" s="241">
        <v>0.44800000000000001</v>
      </c>
      <c r="D182" s="242"/>
      <c r="E182" s="249">
        <v>0.90900000000000003</v>
      </c>
    </row>
    <row r="183" spans="1:5" x14ac:dyDescent="0.3">
      <c r="A183" s="240">
        <v>38.1</v>
      </c>
      <c r="B183" s="248">
        <v>0.317</v>
      </c>
      <c r="C183" s="241">
        <v>0.44800000000000001</v>
      </c>
      <c r="E183" s="250">
        <v>0.90900000000000003</v>
      </c>
    </row>
    <row r="184" spans="1:5" x14ac:dyDescent="0.3">
      <c r="A184" s="240">
        <v>38.200000000000003</v>
      </c>
      <c r="B184" s="248">
        <v>0.317</v>
      </c>
      <c r="C184" s="241">
        <v>0.44800000000000001</v>
      </c>
      <c r="E184" s="250">
        <v>0.90900000000000003</v>
      </c>
    </row>
    <row r="185" spans="1:5" x14ac:dyDescent="0.3">
      <c r="A185" s="240">
        <v>38.299999999999997</v>
      </c>
      <c r="B185" s="248">
        <v>0.317</v>
      </c>
      <c r="C185" s="241">
        <v>0.44800000000000001</v>
      </c>
      <c r="E185" s="250">
        <v>0.90900000000000003</v>
      </c>
    </row>
    <row r="186" spans="1:5" x14ac:dyDescent="0.3">
      <c r="A186" s="240">
        <v>38.4</v>
      </c>
      <c r="B186" s="248">
        <v>0.317</v>
      </c>
      <c r="C186" s="241">
        <v>0.44800000000000001</v>
      </c>
      <c r="E186" s="250">
        <v>0.90900000000000003</v>
      </c>
    </row>
    <row r="187" spans="1:5" x14ac:dyDescent="0.3">
      <c r="A187" s="240">
        <v>38.5</v>
      </c>
      <c r="B187" s="248">
        <v>0.317</v>
      </c>
      <c r="C187" s="241">
        <v>0.44800000000000001</v>
      </c>
      <c r="E187" s="250">
        <v>0.90900000000000003</v>
      </c>
    </row>
    <row r="188" spans="1:5" x14ac:dyDescent="0.3">
      <c r="A188" s="240">
        <v>38.6</v>
      </c>
      <c r="B188" s="248">
        <v>0.317</v>
      </c>
      <c r="C188" s="241">
        <v>0.44800000000000001</v>
      </c>
      <c r="E188" s="250">
        <v>0.90900000000000003</v>
      </c>
    </row>
    <row r="189" spans="1:5" x14ac:dyDescent="0.3">
      <c r="A189" s="240">
        <v>38.700000000000003</v>
      </c>
      <c r="B189" s="248">
        <v>0.317</v>
      </c>
      <c r="C189" s="241">
        <v>0.44800000000000001</v>
      </c>
      <c r="E189" s="250">
        <v>0.90900000000000003</v>
      </c>
    </row>
    <row r="190" spans="1:5" x14ac:dyDescent="0.3">
      <c r="A190" s="240">
        <v>38.799999999999997</v>
      </c>
      <c r="B190" s="248">
        <v>0.317</v>
      </c>
      <c r="C190" s="241">
        <v>0.44800000000000001</v>
      </c>
      <c r="E190" s="250">
        <v>0.90900000000000003</v>
      </c>
    </row>
    <row r="191" spans="1:5" x14ac:dyDescent="0.3">
      <c r="A191" s="240">
        <v>38.9</v>
      </c>
      <c r="B191" s="248">
        <v>0.317</v>
      </c>
      <c r="C191" s="241">
        <v>0.44800000000000001</v>
      </c>
      <c r="E191" s="250">
        <v>0.90900000000000003</v>
      </c>
    </row>
    <row r="192" spans="1:5" x14ac:dyDescent="0.3">
      <c r="A192" s="240">
        <v>39</v>
      </c>
      <c r="B192" s="241">
        <v>0.30299999999999999</v>
      </c>
      <c r="C192" s="241">
        <v>0.433</v>
      </c>
      <c r="D192" s="242"/>
      <c r="E192" s="249">
        <v>0.9</v>
      </c>
    </row>
    <row r="193" spans="1:5" x14ac:dyDescent="0.3">
      <c r="A193" s="240">
        <v>39.1</v>
      </c>
      <c r="B193" s="248">
        <v>0.30299999999999999</v>
      </c>
      <c r="C193" s="241">
        <v>0.433</v>
      </c>
      <c r="E193" s="250">
        <v>0.9</v>
      </c>
    </row>
    <row r="194" spans="1:5" x14ac:dyDescent="0.3">
      <c r="A194" s="240">
        <v>39.200000000000003</v>
      </c>
      <c r="B194" s="248">
        <v>0.30299999999999999</v>
      </c>
      <c r="C194" s="241">
        <v>0.433</v>
      </c>
      <c r="E194" s="250">
        <v>0.9</v>
      </c>
    </row>
    <row r="195" spans="1:5" x14ac:dyDescent="0.3">
      <c r="A195" s="240">
        <v>39.299999999999997</v>
      </c>
      <c r="B195" s="248">
        <v>0.30299999999999999</v>
      </c>
      <c r="C195" s="241">
        <v>0.433</v>
      </c>
      <c r="E195" s="250">
        <v>0.9</v>
      </c>
    </row>
    <row r="196" spans="1:5" x14ac:dyDescent="0.3">
      <c r="A196" s="240">
        <v>39.4</v>
      </c>
      <c r="B196" s="248">
        <v>0.30299999999999999</v>
      </c>
      <c r="C196" s="241">
        <v>0.433</v>
      </c>
      <c r="E196" s="250">
        <v>0.9</v>
      </c>
    </row>
    <row r="197" spans="1:5" x14ac:dyDescent="0.3">
      <c r="A197" s="240">
        <v>39.5</v>
      </c>
      <c r="B197" s="248">
        <v>0.30299999999999999</v>
      </c>
      <c r="C197" s="241">
        <v>0.433</v>
      </c>
      <c r="E197" s="250">
        <v>0.9</v>
      </c>
    </row>
    <row r="198" spans="1:5" x14ac:dyDescent="0.3">
      <c r="A198" s="240">
        <v>39.6</v>
      </c>
      <c r="B198" s="248">
        <v>0.30299999999999999</v>
      </c>
      <c r="C198" s="241">
        <v>0.433</v>
      </c>
      <c r="E198" s="250">
        <v>0.9</v>
      </c>
    </row>
    <row r="199" spans="1:5" x14ac:dyDescent="0.3">
      <c r="A199" s="240">
        <v>39.700000000000003</v>
      </c>
      <c r="B199" s="248">
        <v>0.30299999999999999</v>
      </c>
      <c r="C199" s="241">
        <v>0.433</v>
      </c>
      <c r="E199" s="250">
        <v>0.9</v>
      </c>
    </row>
    <row r="200" spans="1:5" x14ac:dyDescent="0.3">
      <c r="A200" s="240">
        <v>39.799999999999997</v>
      </c>
      <c r="B200" s="248">
        <v>0.30299999999999999</v>
      </c>
      <c r="C200" s="241">
        <v>0.433</v>
      </c>
      <c r="E200" s="250">
        <v>0.9</v>
      </c>
    </row>
    <row r="201" spans="1:5" x14ac:dyDescent="0.3">
      <c r="A201" s="240">
        <v>39.9</v>
      </c>
      <c r="B201" s="248">
        <v>0.30299999999999999</v>
      </c>
      <c r="C201" s="241">
        <v>0.433</v>
      </c>
      <c r="E201" s="250">
        <v>0.9</v>
      </c>
    </row>
    <row r="202" spans="1:5" x14ac:dyDescent="0.3">
      <c r="A202" s="240">
        <v>40</v>
      </c>
      <c r="B202" s="241">
        <v>0.30299999999999999</v>
      </c>
      <c r="C202" s="241">
        <v>0.433</v>
      </c>
      <c r="D202" s="242"/>
      <c r="E202" s="249">
        <v>0.9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CCCCFF"/>
  </sheetPr>
  <dimension ref="B1:B26"/>
  <sheetViews>
    <sheetView showGridLines="0" showRowColHeaders="0" zoomScale="110" zoomScaleNormal="110" workbookViewId="0"/>
  </sheetViews>
  <sheetFormatPr defaultRowHeight="13.2" x14ac:dyDescent="0.25"/>
  <cols>
    <col min="1" max="1" width="3.77734375" customWidth="1"/>
  </cols>
  <sheetData>
    <row r="1" spans="2:2" ht="63" customHeight="1" x14ac:dyDescent="0.25"/>
    <row r="6" spans="2:2" ht="17.399999999999999" x14ac:dyDescent="0.3">
      <c r="B6" s="192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191" t="s">
        <v>112</v>
      </c>
    </row>
    <row r="16" spans="2:2" x14ac:dyDescent="0.25">
      <c r="B16" s="191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5B9-100E-4AD7-B860-DF8E10FE94F9}">
  <sheetPr>
    <tabColor rgb="FFFF0000"/>
    <pageSetUpPr fitToPage="1"/>
  </sheetPr>
  <dimension ref="A1"/>
  <sheetViews>
    <sheetView showGridLines="0" showRowColHeaders="0" tabSelected="1" zoomScale="85" zoomScaleNormal="85" zoomScaleSheetLayoutView="100" workbookViewId="0">
      <selection sqref="A1:L3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8.77734375" customWidth="1"/>
  </cols>
  <sheetData>
    <row r="1" ht="15" customHeigh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3</v>
      </c>
      <c r="D2" s="76"/>
      <c r="E2" s="13"/>
      <c r="F2" s="193"/>
      <c r="G2" s="193"/>
      <c r="I2" s="77" t="str">
        <f>IF($C$2=3,"ja",IF($C$2="3A","ja",IF($C$2="3B","ja",IF($C$2="3C","ja"))))</f>
        <v>ja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155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17"/>
      <c r="C18" s="200"/>
      <c r="D18" s="159"/>
      <c r="E18" s="158"/>
      <c r="F18" s="160"/>
      <c r="G18" s="161"/>
      <c r="H18" s="157"/>
      <c r="I18" s="157"/>
      <c r="J18" s="172"/>
      <c r="K18" s="157"/>
      <c r="L18" s="162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349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17"/>
      <c r="C19" s="200"/>
      <c r="D19" s="139"/>
      <c r="E19" s="139"/>
      <c r="F19" s="160"/>
      <c r="G19" s="161"/>
      <c r="H19" s="172"/>
      <c r="I19" s="157"/>
      <c r="J19" s="172"/>
      <c r="K19" s="157"/>
      <c r="L19" s="162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349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17"/>
      <c r="C20" s="158"/>
      <c r="D20" s="138"/>
      <c r="E20" s="138"/>
      <c r="F20" s="160"/>
      <c r="G20" s="161"/>
      <c r="H20" s="172"/>
      <c r="I20" s="157"/>
      <c r="J20" s="172"/>
      <c r="K20" s="157"/>
      <c r="L20" s="162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349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17"/>
      <c r="C21" s="200"/>
      <c r="D21" s="139"/>
      <c r="E21" s="139"/>
      <c r="F21" s="160"/>
      <c r="G21" s="161"/>
      <c r="H21" s="172"/>
      <c r="I21" s="157"/>
      <c r="J21" s="172"/>
      <c r="K21" s="157"/>
      <c r="L21" s="162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349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0"/>
      <c r="D22" s="139"/>
      <c r="E22" s="139"/>
      <c r="F22" s="160"/>
      <c r="G22" s="161"/>
      <c r="H22" s="172"/>
      <c r="I22" s="157"/>
      <c r="J22" s="172"/>
      <c r="K22" s="157"/>
      <c r="L22" s="162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349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0"/>
      <c r="D23" s="139"/>
      <c r="E23" s="139"/>
      <c r="F23" s="160"/>
      <c r="G23" s="161"/>
      <c r="H23" s="172"/>
      <c r="I23" s="157"/>
      <c r="J23" s="172"/>
      <c r="K23" s="157"/>
      <c r="L23" s="162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349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58"/>
      <c r="D24" s="138"/>
      <c r="E24" s="138"/>
      <c r="F24" s="160"/>
      <c r="G24" s="161"/>
      <c r="H24" s="172"/>
      <c r="I24" s="157"/>
      <c r="J24" s="172"/>
      <c r="K24" s="157"/>
      <c r="L24" s="162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349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0"/>
      <c r="D25" s="139"/>
      <c r="E25" s="139"/>
      <c r="F25" s="160"/>
      <c r="G25" s="173"/>
      <c r="H25" s="172"/>
      <c r="I25" s="172"/>
      <c r="J25" s="172"/>
      <c r="K25" s="172"/>
      <c r="L25" s="174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349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349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0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349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0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349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0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349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349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349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349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0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349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349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349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0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349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349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349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349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349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349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349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349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349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349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349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349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349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349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349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349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349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349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 t="str">
        <f>IF(X57=0,"",IF(X57&gt;0,$X$55))</f>
        <v/>
      </c>
      <c r="AK54" s="352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3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53">
    <cfRule type="cellIs" dxfId="532" priority="188" stopIfTrue="1" operator="equal">
      <formula>""</formula>
    </cfRule>
  </conditionalFormatting>
  <conditionalFormatting sqref="C18:C53">
    <cfRule type="cellIs" dxfId="531" priority="112" stopIfTrue="1" operator="equal">
      <formula>""</formula>
    </cfRule>
  </conditionalFormatting>
  <conditionalFormatting sqref="D7:D8 C9">
    <cfRule type="cellIs" dxfId="530" priority="156" stopIfTrue="1" operator="equal">
      <formula>"ja"</formula>
    </cfRule>
    <cfRule type="cellIs" dxfId="529" priority="157" stopIfTrue="1" operator="equal">
      <formula>"nee"</formula>
    </cfRule>
  </conditionalFormatting>
  <conditionalFormatting sqref="D18:D53">
    <cfRule type="cellIs" dxfId="528" priority="126" stopIfTrue="1" operator="equal">
      <formula>""</formula>
    </cfRule>
  </conditionalFormatting>
  <conditionalFormatting sqref="D18:E53">
    <cfRule type="cellIs" dxfId="527" priority="123" stopIfTrue="1" operator="equal">
      <formula>"x"</formula>
    </cfRule>
  </conditionalFormatting>
  <conditionalFormatting sqref="E18:E53">
    <cfRule type="cellIs" dxfId="526" priority="124" stopIfTrue="1" operator="equal">
      <formula>""</formula>
    </cfRule>
  </conditionalFormatting>
  <conditionalFormatting sqref="F11:F13">
    <cfRule type="expression" dxfId="525" priority="162" stopIfTrue="1">
      <formula>$I$3="ja"</formula>
    </cfRule>
    <cfRule type="expression" dxfId="524" priority="163" stopIfTrue="1">
      <formula>$K$3="ja"</formula>
    </cfRule>
  </conditionalFormatting>
  <conditionalFormatting sqref="F18:F53">
    <cfRule type="cellIs" dxfId="523" priority="79" stopIfTrue="1" operator="greaterThan">
      <formula>""</formula>
    </cfRule>
    <cfRule type="cellIs" dxfId="522" priority="78" stopIfTrue="1" operator="equal">
      <formula>""</formula>
    </cfRule>
  </conditionalFormatting>
  <conditionalFormatting sqref="G11:G13">
    <cfRule type="expression" dxfId="521" priority="138">
      <formula>$J$2="ja"</formula>
    </cfRule>
    <cfRule type="expression" dxfId="520" priority="164" stopIfTrue="1">
      <formula>$I$2="ja"</formula>
    </cfRule>
    <cfRule type="expression" dxfId="519" priority="165" stopIfTrue="1">
      <formula>$K$2="ja"</formula>
    </cfRule>
  </conditionalFormatting>
  <conditionalFormatting sqref="G18:L53">
    <cfRule type="cellIs" dxfId="518" priority="120" stopIfTrue="1" operator="equal">
      <formula>0</formula>
    </cfRule>
    <cfRule type="cellIs" dxfId="517" priority="121" stopIfTrue="1" operator="lessThanOrEqual">
      <formula>$C18</formula>
    </cfRule>
    <cfRule type="cellIs" dxfId="516" priority="122" stopIfTrue="1" operator="notEqual">
      <formula>$C18</formula>
    </cfRule>
  </conditionalFormatting>
  <conditionalFormatting sqref="H11:H13">
    <cfRule type="expression" dxfId="515" priority="166" stopIfTrue="1">
      <formula>$I$3="ja"</formula>
    </cfRule>
  </conditionalFormatting>
  <conditionalFormatting sqref="H11:I13">
    <cfRule type="expression" dxfId="514" priority="133">
      <formula>$L$2="ja"</formula>
    </cfRule>
  </conditionalFormatting>
  <conditionalFormatting sqref="H11:J13">
    <cfRule type="expression" dxfId="513" priority="130">
      <formula>$K$3="ja"</formula>
    </cfRule>
  </conditionalFormatting>
  <conditionalFormatting sqref="I11:I13">
    <cfRule type="expression" dxfId="512" priority="137">
      <formula>$J$2="ja"</formula>
    </cfRule>
    <cfRule type="expression" dxfId="511" priority="139">
      <formula>$K$2="ja"</formula>
    </cfRule>
  </conditionalFormatting>
  <conditionalFormatting sqref="I11:Q13">
    <cfRule type="expression" dxfId="510" priority="108">
      <formula>$I$3="ja"</formula>
    </cfRule>
  </conditionalFormatting>
  <conditionalFormatting sqref="K11:Q13">
    <cfRule type="expression" dxfId="509" priority="107">
      <formula>$J$2="ja"</formula>
    </cfRule>
    <cfRule type="expression" dxfId="508" priority="111" stopIfTrue="1">
      <formula>$R$2="ja"</formula>
    </cfRule>
    <cfRule type="expression" dxfId="507" priority="110" stopIfTrue="1">
      <formula>$L$2="ja"</formula>
    </cfRule>
    <cfRule type="expression" dxfId="506" priority="109" stopIfTrue="1">
      <formula>$K$2="ja"</formula>
    </cfRule>
  </conditionalFormatting>
  <conditionalFormatting sqref="AI18:AI53">
    <cfRule type="cellIs" dxfId="505" priority="170" stopIfTrue="1" operator="notEqual">
      <formula>""</formula>
    </cfRule>
  </conditionalFormatting>
  <conditionalFormatting sqref="AJ18:AJ53">
    <cfRule type="cellIs" dxfId="504" priority="95" stopIfTrue="1" operator="equal">
      <formula>1</formula>
    </cfRule>
    <cfRule type="cellIs" dxfId="503" priority="96" stopIfTrue="1" operator="lessThan">
      <formula>1</formula>
    </cfRule>
  </conditionalFormatting>
  <conditionalFormatting sqref="AJ11:AK13">
    <cfRule type="cellIs" dxfId="502" priority="47" stopIfTrue="1" operator="equal">
      <formula>1</formula>
    </cfRule>
    <cfRule type="cellIs" dxfId="501" priority="48" stopIfTrue="1" operator="lessThan">
      <formula>1</formula>
    </cfRule>
  </conditionalFormatting>
  <conditionalFormatting sqref="AL18:AM53">
    <cfRule type="expression" dxfId="496" priority="64" stopIfTrue="1">
      <formula>$K$3="ja"</formula>
    </cfRule>
  </conditionalFormatting>
  <conditionalFormatting sqref="AN18:AN53">
    <cfRule type="cellIs" dxfId="495" priority="113" stopIfTrue="1" operator="equal">
      <formula>1</formula>
    </cfRule>
    <cfRule type="cellIs" dxfId="494" priority="114" stopIfTrue="1" operator="equal">
      <formula>""</formula>
    </cfRule>
  </conditionalFormatting>
  <conditionalFormatting sqref="AO18:AO53">
    <cfRule type="cellIs" dxfId="493" priority="115" stopIfTrue="1" operator="equal">
      <formula>1</formula>
    </cfRule>
    <cfRule type="cellIs" dxfId="492" priority="116" stopIfTrue="1" operator="equal">
      <formula>""</formula>
    </cfRule>
  </conditionalFormatting>
  <conditionalFormatting sqref="AR11:AR13">
    <cfRule type="expression" dxfId="486" priority="37" stopIfTrue="1">
      <formula>$I$3="ja"</formula>
    </cfRule>
  </conditionalFormatting>
  <conditionalFormatting sqref="AR11:AS13">
    <cfRule type="expression" dxfId="485" priority="40">
      <formula>$K$3="ja"</formula>
    </cfRule>
    <cfRule type="expression" dxfId="484" priority="39">
      <formula>$L$2="ja"</formula>
    </cfRule>
  </conditionalFormatting>
  <conditionalFormatting sqref="AS11:AS13">
    <cfRule type="expression" dxfId="478" priority="38">
      <formula>$K$2="ja"</formula>
    </cfRule>
  </conditionalFormatting>
  <conditionalFormatting sqref="AS11:AT13">
    <cfRule type="expression" dxfId="477" priority="32">
      <formula>$J$2="ja"</formula>
    </cfRule>
  </conditionalFormatting>
  <conditionalFormatting sqref="AS11:AU13">
    <cfRule type="expression" dxfId="476" priority="33">
      <formula>$I$3="ja"</formula>
    </cfRule>
  </conditionalFormatting>
  <conditionalFormatting sqref="AT11:AT13">
    <cfRule type="expression" dxfId="475" priority="35" stopIfTrue="1">
      <formula>$L$2="ja"</formula>
    </cfRule>
    <cfRule type="expression" dxfId="474" priority="36" stopIfTrue="1">
      <formula>$R$2="ja"</formula>
    </cfRule>
    <cfRule type="expression" dxfId="473" priority="34" stopIfTrue="1">
      <formula>$K$2="ja"</formula>
    </cfRule>
  </conditionalFormatting>
  <conditionalFormatting sqref="AU11:AU13 AX11:AX13">
    <cfRule type="expression" dxfId="471" priority="76" stopIfTrue="1">
      <formula>$K$3="ja"</formula>
    </cfRule>
  </conditionalFormatting>
  <conditionalFormatting sqref="AY18:AZ53">
    <cfRule type="expression" dxfId="462" priority="94" stopIfTrue="1">
      <formula>$K$3="ja"</formula>
    </cfRule>
  </conditionalFormatting>
  <conditionalFormatting sqref="AZ54">
    <cfRule type="expression" dxfId="461" priority="92" stopIfTrue="1">
      <formula>$K$3="ja"</formula>
    </cfRule>
    <cfRule type="expression" dxfId="460" priority="91" stopIfTrue="1">
      <formula>$I$3="ja"</formula>
    </cfRule>
  </conditionalFormatting>
  <conditionalFormatting sqref="AP18:AP53">
    <cfRule type="cellIs" dxfId="215" priority="23" stopIfTrue="1" operator="equal">
      <formula>"x"</formula>
    </cfRule>
    <cfRule type="expression" dxfId="214" priority="24" stopIfTrue="1">
      <formula>$B18&gt;0</formula>
    </cfRule>
    <cfRule type="cellIs" dxfId="213" priority="25" stopIfTrue="1" operator="equal">
      <formula>""</formula>
    </cfRule>
  </conditionalFormatting>
  <conditionalFormatting sqref="AQ18:AQ54">
    <cfRule type="expression" dxfId="212" priority="22" stopIfTrue="1">
      <formula>$K$3="ja"</formula>
    </cfRule>
  </conditionalFormatting>
  <conditionalFormatting sqref="AQ54">
    <cfRule type="expression" dxfId="211" priority="21" stopIfTrue="1">
      <formula>$I$3="ja"</formula>
    </cfRule>
  </conditionalFormatting>
  <conditionalFormatting sqref="AR54:AX54">
    <cfRule type="expression" dxfId="210" priority="19" stopIfTrue="1">
      <formula>$I$3="ja"</formula>
    </cfRule>
  </conditionalFormatting>
  <conditionalFormatting sqref="AR54:AT54">
    <cfRule type="expression" dxfId="209" priority="18" stopIfTrue="1">
      <formula>$K$3="ja"</formula>
    </cfRule>
  </conditionalFormatting>
  <conditionalFormatting sqref="AU54:AX54">
    <cfRule type="expression" dxfId="208" priority="20" stopIfTrue="1">
      <formula>$K$3="ja"</formula>
    </cfRule>
  </conditionalFormatting>
  <conditionalFormatting sqref="AR18:AS53">
    <cfRule type="cellIs" dxfId="207" priority="6" operator="equal">
      <formula>"2F"</formula>
    </cfRule>
  </conditionalFormatting>
  <conditionalFormatting sqref="AR18:AT53">
    <cfRule type="cellIs" dxfId="206" priority="8" operator="equal">
      <formula>"&lt;1F"</formula>
    </cfRule>
    <cfRule type="cellIs" dxfId="205" priority="9" operator="equal">
      <formula>"1F"</formula>
    </cfRule>
    <cfRule type="expression" dxfId="204" priority="10" stopIfTrue="1">
      <formula>$K$3="ja"</formula>
    </cfRule>
  </conditionalFormatting>
  <conditionalFormatting sqref="AT18:AT53">
    <cfRule type="cellIs" dxfId="203" priority="7" operator="equal">
      <formula>"1S"</formula>
    </cfRule>
  </conditionalFormatting>
  <conditionalFormatting sqref="AU18:AU53">
    <cfRule type="expression" dxfId="202" priority="14">
      <formula>$AV18=""</formula>
    </cfRule>
    <cfRule type="expression" dxfId="201" priority="15">
      <formula>$AV18&lt;$AQ18</formula>
    </cfRule>
    <cfRule type="expression" dxfId="200" priority="16">
      <formula>$AV18&gt;=$AQ18</formula>
    </cfRule>
  </conditionalFormatting>
  <conditionalFormatting sqref="AV18:AW53">
    <cfRule type="expression" dxfId="199" priority="17" stopIfTrue="1">
      <formula>$K$3="ja"</formula>
    </cfRule>
  </conditionalFormatting>
  <conditionalFormatting sqref="AX18:AX53">
    <cfRule type="expression" dxfId="198" priority="11">
      <formula>$AY18=""</formula>
    </cfRule>
    <cfRule type="expression" dxfId="197" priority="12">
      <formula>$AY18&lt;$AV18</formula>
    </cfRule>
    <cfRule type="expression" dxfId="196" priority="13">
      <formula>$AY18&gt;=$AV18</formula>
    </cfRule>
  </conditionalFormatting>
  <conditionalFormatting sqref="AK18:AK53">
    <cfRule type="expression" dxfId="4" priority="2">
      <formula>$F18=""</formula>
    </cfRule>
    <cfRule type="expression" dxfId="3" priority="3">
      <formula>$AL18=""</formula>
    </cfRule>
    <cfRule type="expression" dxfId="2" priority="4">
      <formula>$AL18&lt;$AQ18</formula>
    </cfRule>
    <cfRule type="expression" dxfId="1" priority="5">
      <formula>$AL18&gt;=$AQ18</formula>
    </cfRule>
  </conditionalFormatting>
  <conditionalFormatting sqref="AK18:AK54">
    <cfRule type="expression" dxfId="0" priority="1">
      <formula>$B18&gt;0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1C1DD9FF-908D-4D9E-AD73-3252E5329F87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01E-62A8-4DB4-A4DA-4F02DBE7FEB1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>
        <f>VLOOKUP($H$2,'groep 3'!A18:B53,2)</f>
        <v>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3'!$C$2</f>
        <v>3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3'!B18</f>
        <v>0</v>
      </c>
    </row>
    <row r="7" spans="1:30" x14ac:dyDescent="0.45">
      <c r="A7" s="213">
        <v>2</v>
      </c>
      <c r="B7" s="212">
        <f>'groep 3'!B19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3'!B20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3'!B21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3'!B22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3'!B23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3'!B24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3'!B25</f>
        <v>0</v>
      </c>
      <c r="H13" s="217"/>
      <c r="I13" s="217"/>
      <c r="J13" s="217"/>
      <c r="K13" s="226">
        <f>VLOOKUP($H$2,'groep 3'!$A18:$L53,7)</f>
        <v>0</v>
      </c>
      <c r="L13" s="226">
        <f>VLOOKUP($H$2,'groep 3'!$A18:$L53,8)</f>
        <v>0</v>
      </c>
      <c r="M13" s="226">
        <f>VLOOKUP($H$2,'groep 3'!$A18:$L53,9)</f>
        <v>0</v>
      </c>
      <c r="N13" s="226">
        <f>VLOOKUP($H$2,'groep 3'!$A18:$L53,10)</f>
        <v>0</v>
      </c>
      <c r="O13" s="226">
        <f>VLOOKUP($H$2,'groep 3'!$A18:$L53,11)</f>
        <v>0</v>
      </c>
      <c r="P13" s="226">
        <f>VLOOKUP($H$2,'groep 3'!$A18:$L53,12)</f>
        <v>0</v>
      </c>
      <c r="Q13" s="226"/>
      <c r="R13" s="226">
        <f>VLOOKUP($H$2,'groep 3'!$A18:$L53,3)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3'!B26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3'!B27</f>
        <v>0</v>
      </c>
    </row>
    <row r="16" spans="1:30" x14ac:dyDescent="0.45">
      <c r="A16" s="213">
        <v>11</v>
      </c>
      <c r="B16" s="212">
        <f>'groep 3'!B28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3'!B29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3'!B30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3'!B31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3'!B32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3'!B33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3'!B34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3'!B35</f>
        <v>0</v>
      </c>
    </row>
    <row r="24" spans="1:21" x14ac:dyDescent="0.45">
      <c r="A24" s="213">
        <v>19</v>
      </c>
      <c r="B24" s="212">
        <f>'groep 3'!B36</f>
        <v>0</v>
      </c>
    </row>
    <row r="25" spans="1:21" x14ac:dyDescent="0.45">
      <c r="A25" s="213">
        <v>20</v>
      </c>
      <c r="B25" s="212">
        <f>'groep 3'!B37</f>
        <v>0</v>
      </c>
    </row>
    <row r="26" spans="1:21" x14ac:dyDescent="0.45">
      <c r="A26" s="213">
        <v>21</v>
      </c>
      <c r="B26" s="212">
        <f>'groep 3'!B38</f>
        <v>0</v>
      </c>
    </row>
    <row r="27" spans="1:21" x14ac:dyDescent="0.45">
      <c r="A27" s="213">
        <v>22</v>
      </c>
      <c r="B27" s="212">
        <f>'groep 3'!B39</f>
        <v>0</v>
      </c>
    </row>
    <row r="28" spans="1:21" ht="15.75" customHeight="1" x14ac:dyDescent="0.45">
      <c r="A28" s="213">
        <v>23</v>
      </c>
      <c r="B28" s="212">
        <f>'groep 3'!B40</f>
        <v>0</v>
      </c>
    </row>
    <row r="29" spans="1:21" x14ac:dyDescent="0.45">
      <c r="A29" s="213">
        <v>24</v>
      </c>
      <c r="B29" s="212">
        <f>'groep 3'!B41</f>
        <v>0</v>
      </c>
    </row>
    <row r="30" spans="1:21" x14ac:dyDescent="0.45">
      <c r="A30" s="213">
        <v>25</v>
      </c>
      <c r="B30" s="212">
        <f>'groep 3'!B42</f>
        <v>0</v>
      </c>
    </row>
    <row r="31" spans="1:21" x14ac:dyDescent="0.45">
      <c r="A31" s="213">
        <v>26</v>
      </c>
      <c r="B31" s="212">
        <f>'groep 3'!B43</f>
        <v>0</v>
      </c>
    </row>
    <row r="32" spans="1:21" x14ac:dyDescent="0.45">
      <c r="A32" s="213">
        <v>27</v>
      </c>
      <c r="B32" s="212">
        <f>'groep 3'!B44</f>
        <v>0</v>
      </c>
    </row>
    <row r="33" spans="1:7" x14ac:dyDescent="0.45">
      <c r="A33" s="213">
        <v>28</v>
      </c>
      <c r="B33" s="212">
        <f>'groep 3'!B45</f>
        <v>0</v>
      </c>
    </row>
    <row r="34" spans="1:7" x14ac:dyDescent="0.45">
      <c r="A34" s="213">
        <v>29</v>
      </c>
      <c r="B34" s="212">
        <f>'groep 3'!B46</f>
        <v>0</v>
      </c>
    </row>
    <row r="35" spans="1:7" x14ac:dyDescent="0.45">
      <c r="A35" s="213">
        <v>30</v>
      </c>
      <c r="B35" s="212">
        <f>'groep 3'!B47</f>
        <v>0</v>
      </c>
    </row>
    <row r="36" spans="1:7" x14ac:dyDescent="0.45">
      <c r="A36" s="213">
        <v>31</v>
      </c>
      <c r="B36" s="212">
        <f>'groep 3'!B48</f>
        <v>0</v>
      </c>
    </row>
    <row r="37" spans="1:7" x14ac:dyDescent="0.45">
      <c r="A37" s="213">
        <v>32</v>
      </c>
      <c r="B37" s="212">
        <f>'groep 3'!B49</f>
        <v>0</v>
      </c>
    </row>
    <row r="38" spans="1:7" x14ac:dyDescent="0.45">
      <c r="A38" s="213">
        <v>33</v>
      </c>
      <c r="B38" s="212">
        <f>'groep 3'!B50</f>
        <v>0</v>
      </c>
    </row>
    <row r="39" spans="1:7" x14ac:dyDescent="0.45">
      <c r="A39" s="213">
        <v>34</v>
      </c>
      <c r="B39" s="212">
        <f>'groep 3'!B51</f>
        <v>0</v>
      </c>
    </row>
    <row r="40" spans="1:7" x14ac:dyDescent="0.45">
      <c r="A40" s="213">
        <v>35</v>
      </c>
      <c r="B40" s="212">
        <f>'groep 3'!B52</f>
        <v>0</v>
      </c>
    </row>
    <row r="41" spans="1:7" x14ac:dyDescent="0.45">
      <c r="A41" s="213">
        <v>36</v>
      </c>
      <c r="B41" s="212">
        <f>'groep 3'!B53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00FF"/>
  </sheetPr>
  <dimension ref="A1:BA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hidden="1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4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str">
        <f>IF($C$2=4,"ja",IF($C$2="4A","ja",IF($C$2="4B","ja",IF($C$2="4C","ja"))))</f>
        <v>ja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 t="s">
        <v>162</v>
      </c>
      <c r="C18" s="200" t="s">
        <v>17</v>
      </c>
      <c r="D18" s="159"/>
      <c r="E18" s="159"/>
      <c r="F18" s="160"/>
      <c r="G18" s="205" t="s">
        <v>17</v>
      </c>
      <c r="H18" s="172"/>
      <c r="I18" s="204" t="s">
        <v>17</v>
      </c>
      <c r="J18" s="172"/>
      <c r="K18" s="157"/>
      <c r="L18" s="203" t="s">
        <v>16</v>
      </c>
      <c r="M18" s="163">
        <f>COUNTA(H18,I18,L18)</f>
        <v>2</v>
      </c>
      <c r="N18" s="164">
        <f>IF(L18="E",1,IF(L18="D",2,IF(L18="C",3,IF(L18="B",4,IF(L18="A",5,IF(L18=5,1,IF(L18=4,2,IF(L18=3,3,IF(L18=2,4,IF(L18=1,5,IF(L18="","")))))))))))</f>
        <v>4</v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>
        <f t="shared" ref="P18:P53" si="1">IF(I18="E",1,IF(I18="D",2,IF(I18="C",3,IF(I18="B",4,IF(I18="A",5,IF(I18=5,1,IF(I18=4,2,IF(I18=3,3,IF(I18=2,4,IF(I18=1,5,IF(I18="","")))))))))))</f>
        <v>3</v>
      </c>
      <c r="Q18" s="164">
        <f>IF(M18&lt;3,2,IF($C$2&lt;6,0,IF($C$2&gt;=6,SUM(N18:P18))))</f>
        <v>2</v>
      </c>
      <c r="R18" s="104">
        <f t="shared" ref="R18:R53" si="2">IF(C18="","",IF(G18="","",IF(G18=$C18,1,IF(G18&lt;$C18,1,IF(G18&gt;$C18,"",IF(G18="A+",1))))))</f>
        <v>1</v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3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>
        <f t="shared" ref="AA18:AA53" si="10">IF($C18="C",$AJ18)</f>
        <v>1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3</v>
      </c>
      <c r="AJ18" s="167">
        <f t="shared" ref="AJ18:AJ53" si="14">IF(AI18=0,"",IF(AI18="","",IF(AI18&gt;0,X18/AI18)))</f>
        <v>1</v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 t="s">
        <v>169</v>
      </c>
      <c r="C19" s="200" t="s">
        <v>17</v>
      </c>
      <c r="D19" s="139"/>
      <c r="E19" s="139"/>
      <c r="F19" s="160"/>
      <c r="G19" s="205" t="s">
        <v>19</v>
      </c>
      <c r="H19" s="172"/>
      <c r="I19" s="204" t="s">
        <v>17</v>
      </c>
      <c r="J19" s="172"/>
      <c r="K19" s="157"/>
      <c r="L19" s="203" t="s">
        <v>16</v>
      </c>
      <c r="M19" s="163">
        <f t="shared" ref="M19:M53" si="16">COUNTA(H19,I19,L19)</f>
        <v>2</v>
      </c>
      <c r="N19" s="164">
        <f t="shared" ref="N19:N53" si="17">IF(L19="E",1,IF(L19="D",2,IF(L19="C",3,IF(L19="B",4,IF(L19="A",5,IF(L19=5,1,IF(L19=4,2,IF(L19=3,3,IF(L19=2,4,IF(L19=1,5,IF(L19="","")))))))))))</f>
        <v>4</v>
      </c>
      <c r="O19" s="164" t="str">
        <f t="shared" si="0"/>
        <v/>
      </c>
      <c r="P19" s="164">
        <f t="shared" si="1"/>
        <v>3</v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>
        <f t="shared" si="4"/>
        <v>1</v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>
        <f t="shared" si="6"/>
        <v>1</v>
      </c>
      <c r="X19" s="104">
        <f t="shared" si="7"/>
        <v>2</v>
      </c>
      <c r="Y19" s="165" t="b">
        <f t="shared" si="8"/>
        <v>0</v>
      </c>
      <c r="Z19" s="165" t="b">
        <f t="shared" si="9"/>
        <v>0</v>
      </c>
      <c r="AA19" s="165">
        <f t="shared" si="10"/>
        <v>0.66666666666666663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3</v>
      </c>
      <c r="AJ19" s="171">
        <f t="shared" si="14"/>
        <v>0.66666666666666663</v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 t="s">
        <v>170</v>
      </c>
      <c r="C20" s="200" t="s">
        <v>16</v>
      </c>
      <c r="D20" s="138"/>
      <c r="E20" s="139"/>
      <c r="F20" s="160"/>
      <c r="G20" s="205" t="s">
        <v>17</v>
      </c>
      <c r="H20" s="172"/>
      <c r="I20" s="204" t="s">
        <v>16</v>
      </c>
      <c r="J20" s="172"/>
      <c r="K20" s="157"/>
      <c r="L20" s="203" t="s">
        <v>16</v>
      </c>
      <c r="M20" s="163">
        <f t="shared" si="16"/>
        <v>2</v>
      </c>
      <c r="N20" s="164">
        <f t="shared" si="17"/>
        <v>4</v>
      </c>
      <c r="O20" s="164" t="str">
        <f t="shared" si="0"/>
        <v/>
      </c>
      <c r="P20" s="164">
        <f t="shared" si="1"/>
        <v>4</v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2</v>
      </c>
      <c r="Y20" s="165" t="b">
        <f t="shared" si="8"/>
        <v>0</v>
      </c>
      <c r="Z20" s="165">
        <f t="shared" si="9"/>
        <v>0.66666666666666663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3</v>
      </c>
      <c r="AJ20" s="171">
        <f t="shared" si="14"/>
        <v>0.66666666666666663</v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 t="s">
        <v>171</v>
      </c>
      <c r="C21" s="200" t="s">
        <v>17</v>
      </c>
      <c r="D21" s="139"/>
      <c r="E21" s="139"/>
      <c r="F21" s="160"/>
      <c r="G21" s="205" t="s">
        <v>19</v>
      </c>
      <c r="H21" s="172"/>
      <c r="I21" s="204" t="s">
        <v>17</v>
      </c>
      <c r="J21" s="172"/>
      <c r="K21" s="157"/>
      <c r="L21" s="203" t="s">
        <v>17</v>
      </c>
      <c r="M21" s="163">
        <f t="shared" si="16"/>
        <v>2</v>
      </c>
      <c r="N21" s="164">
        <f t="shared" si="17"/>
        <v>3</v>
      </c>
      <c r="O21" s="164" t="str">
        <f t="shared" si="0"/>
        <v/>
      </c>
      <c r="P21" s="164">
        <f t="shared" si="1"/>
        <v>3</v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>
        <f t="shared" si="4"/>
        <v>1</v>
      </c>
      <c r="U21" s="104" t="str">
        <f t="shared" si="19"/>
        <v/>
      </c>
      <c r="V21" s="104" t="str">
        <f t="shared" si="5"/>
        <v/>
      </c>
      <c r="W21" s="104">
        <f t="shared" si="6"/>
        <v>1</v>
      </c>
      <c r="X21" s="104">
        <f t="shared" si="7"/>
        <v>2</v>
      </c>
      <c r="Y21" s="165" t="b">
        <f t="shared" si="8"/>
        <v>0</v>
      </c>
      <c r="Z21" s="165" t="b">
        <f t="shared" si="9"/>
        <v>0</v>
      </c>
      <c r="AA21" s="165">
        <f t="shared" si="10"/>
        <v>0.66666666666666663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3</v>
      </c>
      <c r="AJ21" s="171">
        <f t="shared" si="14"/>
        <v>0.66666666666666663</v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 t="s">
        <v>172</v>
      </c>
      <c r="C22" s="200" t="s">
        <v>16</v>
      </c>
      <c r="D22" s="139"/>
      <c r="E22" s="139"/>
      <c r="F22" s="160"/>
      <c r="G22" s="205" t="s">
        <v>18</v>
      </c>
      <c r="H22" s="172"/>
      <c r="I22" s="204" t="s">
        <v>16</v>
      </c>
      <c r="J22" s="172"/>
      <c r="K22" s="157"/>
      <c r="L22" s="203" t="s">
        <v>16</v>
      </c>
      <c r="M22" s="163">
        <f t="shared" si="16"/>
        <v>2</v>
      </c>
      <c r="N22" s="164">
        <f t="shared" si="17"/>
        <v>4</v>
      </c>
      <c r="O22" s="164" t="str">
        <f t="shared" si="0"/>
        <v/>
      </c>
      <c r="P22" s="164">
        <f t="shared" si="1"/>
        <v>4</v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>
        <f t="shared" si="4"/>
        <v>1</v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2</v>
      </c>
      <c r="Y22" s="165" t="b">
        <f t="shared" si="8"/>
        <v>0</v>
      </c>
      <c r="Z22" s="165">
        <f t="shared" si="9"/>
        <v>0.66666666666666663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3</v>
      </c>
      <c r="AJ22" s="171">
        <f t="shared" si="14"/>
        <v>0.66666666666666663</v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 t="s">
        <v>173</v>
      </c>
      <c r="C23" s="200" t="s">
        <v>17</v>
      </c>
      <c r="D23" s="139"/>
      <c r="E23" s="139"/>
      <c r="F23" s="160"/>
      <c r="G23" s="205" t="s">
        <v>18</v>
      </c>
      <c r="H23" s="172"/>
      <c r="I23" s="204" t="s">
        <v>18</v>
      </c>
      <c r="J23" s="172"/>
      <c r="K23" s="157"/>
      <c r="L23" s="203" t="s">
        <v>16</v>
      </c>
      <c r="M23" s="163">
        <f t="shared" si="16"/>
        <v>2</v>
      </c>
      <c r="N23" s="164">
        <f t="shared" si="17"/>
        <v>4</v>
      </c>
      <c r="O23" s="164" t="str">
        <f t="shared" si="0"/>
        <v/>
      </c>
      <c r="P23" s="164">
        <f t="shared" si="1"/>
        <v>2</v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>
        <f t="shared" si="6"/>
        <v>1</v>
      </c>
      <c r="X23" s="104">
        <f t="shared" si="7"/>
        <v>1</v>
      </c>
      <c r="Y23" s="165" t="b">
        <f t="shared" si="8"/>
        <v>0</v>
      </c>
      <c r="Z23" s="165" t="b">
        <f t="shared" si="9"/>
        <v>0</v>
      </c>
      <c r="AA23" s="165">
        <f t="shared" si="10"/>
        <v>0.33333333333333331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3</v>
      </c>
      <c r="AJ23" s="171">
        <f t="shared" si="14"/>
        <v>0.33333333333333331</v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 t="s">
        <v>174</v>
      </c>
      <c r="C24" s="200" t="s">
        <v>17</v>
      </c>
      <c r="D24" s="138"/>
      <c r="E24" s="138"/>
      <c r="F24" s="160"/>
      <c r="G24" s="205" t="s">
        <v>17</v>
      </c>
      <c r="H24" s="172"/>
      <c r="I24" s="204" t="s">
        <v>17</v>
      </c>
      <c r="J24" s="172"/>
      <c r="K24" s="157"/>
      <c r="L24" s="203" t="s">
        <v>17</v>
      </c>
      <c r="M24" s="163">
        <f t="shared" si="16"/>
        <v>2</v>
      </c>
      <c r="N24" s="164">
        <f t="shared" si="17"/>
        <v>3</v>
      </c>
      <c r="O24" s="164" t="str">
        <f t="shared" si="0"/>
        <v/>
      </c>
      <c r="P24" s="164">
        <f t="shared" si="1"/>
        <v>3</v>
      </c>
      <c r="Q24" s="164">
        <f t="shared" si="18"/>
        <v>0</v>
      </c>
      <c r="R24" s="104">
        <f t="shared" si="2"/>
        <v>1</v>
      </c>
      <c r="S24" s="104" t="str">
        <f t="shared" si="3"/>
        <v/>
      </c>
      <c r="T24" s="104">
        <f t="shared" si="4"/>
        <v>1</v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3</v>
      </c>
      <c r="Y24" s="165" t="b">
        <f t="shared" si="8"/>
        <v>0</v>
      </c>
      <c r="Z24" s="165" t="b">
        <f t="shared" si="9"/>
        <v>0</v>
      </c>
      <c r="AA24" s="165">
        <f t="shared" si="10"/>
        <v>1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3</v>
      </c>
      <c r="AJ24" s="171">
        <f t="shared" si="14"/>
        <v>1</v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 t="s">
        <v>175</v>
      </c>
      <c r="C25" s="200" t="s">
        <v>16</v>
      </c>
      <c r="D25" s="139"/>
      <c r="E25" s="139"/>
      <c r="F25" s="160"/>
      <c r="G25" s="205" t="s">
        <v>16</v>
      </c>
      <c r="H25" s="172"/>
      <c r="I25" s="204" t="s">
        <v>16</v>
      </c>
      <c r="J25" s="172"/>
      <c r="K25" s="172"/>
      <c r="L25" s="203" t="s">
        <v>17</v>
      </c>
      <c r="M25" s="163">
        <f t="shared" si="16"/>
        <v>2</v>
      </c>
      <c r="N25" s="164">
        <f t="shared" si="17"/>
        <v>3</v>
      </c>
      <c r="O25" s="164" t="str">
        <f t="shared" si="0"/>
        <v/>
      </c>
      <c r="P25" s="164">
        <f t="shared" si="1"/>
        <v>4</v>
      </c>
      <c r="Q25" s="164">
        <f t="shared" si="18"/>
        <v>0</v>
      </c>
      <c r="R25" s="104">
        <f t="shared" si="2"/>
        <v>1</v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2</v>
      </c>
      <c r="Y25" s="165" t="b">
        <f t="shared" si="8"/>
        <v>0</v>
      </c>
      <c r="Z25" s="165">
        <f t="shared" si="9"/>
        <v>0.66666666666666663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3</v>
      </c>
      <c r="AJ25" s="171">
        <f t="shared" si="14"/>
        <v>0.66666666666666663</v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 t="s">
        <v>163</v>
      </c>
      <c r="C26" s="200" t="s">
        <v>16</v>
      </c>
      <c r="D26" s="139"/>
      <c r="E26" s="139"/>
      <c r="F26" s="160"/>
      <c r="G26" s="173" t="s">
        <v>16</v>
      </c>
      <c r="H26" s="172"/>
      <c r="I26" s="172" t="s">
        <v>17</v>
      </c>
      <c r="J26" s="172"/>
      <c r="K26" s="172"/>
      <c r="L26" s="174" t="s">
        <v>16</v>
      </c>
      <c r="M26" s="163">
        <f t="shared" si="16"/>
        <v>2</v>
      </c>
      <c r="N26" s="164">
        <f t="shared" si="17"/>
        <v>4</v>
      </c>
      <c r="O26" s="164" t="str">
        <f t="shared" si="0"/>
        <v/>
      </c>
      <c r="P26" s="164">
        <f t="shared" si="1"/>
        <v>3</v>
      </c>
      <c r="Q26" s="164">
        <f t="shared" si="18"/>
        <v>0</v>
      </c>
      <c r="R26" s="104">
        <f t="shared" si="2"/>
        <v>1</v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>
        <f t="shared" si="6"/>
        <v>1</v>
      </c>
      <c r="X26" s="104">
        <f t="shared" si="7"/>
        <v>2</v>
      </c>
      <c r="Y26" s="165" t="b">
        <f t="shared" si="8"/>
        <v>0</v>
      </c>
      <c r="Z26" s="165">
        <f t="shared" si="9"/>
        <v>0.66666666666666663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3</v>
      </c>
      <c r="AJ26" s="171">
        <f t="shared" si="14"/>
        <v>0.66666666666666663</v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 t="s">
        <v>164</v>
      </c>
      <c r="C27" s="200" t="s">
        <v>16</v>
      </c>
      <c r="D27" s="139"/>
      <c r="E27" s="139"/>
      <c r="F27" s="160"/>
      <c r="G27" s="173" t="s">
        <v>17</v>
      </c>
      <c r="H27" s="172"/>
      <c r="I27" s="172" t="s">
        <v>16</v>
      </c>
      <c r="J27" s="172"/>
      <c r="K27" s="172"/>
      <c r="L27" s="174" t="s">
        <v>16</v>
      </c>
      <c r="M27" s="163">
        <f t="shared" si="16"/>
        <v>2</v>
      </c>
      <c r="N27" s="164">
        <f t="shared" si="17"/>
        <v>4</v>
      </c>
      <c r="O27" s="164" t="str">
        <f t="shared" si="0"/>
        <v/>
      </c>
      <c r="P27" s="164">
        <f t="shared" si="1"/>
        <v>4</v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>
        <f t="shared" si="4"/>
        <v>1</v>
      </c>
      <c r="U27" s="104" t="str">
        <f t="shared" si="19"/>
        <v/>
      </c>
      <c r="V27" s="104" t="str">
        <f t="shared" si="5"/>
        <v/>
      </c>
      <c r="W27" s="104">
        <f t="shared" si="6"/>
        <v>1</v>
      </c>
      <c r="X27" s="104">
        <f t="shared" si="7"/>
        <v>2</v>
      </c>
      <c r="Y27" s="165" t="b">
        <f t="shared" si="8"/>
        <v>0</v>
      </c>
      <c r="Z27" s="165">
        <f t="shared" si="9"/>
        <v>0.66666666666666663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3</v>
      </c>
      <c r="AJ27" s="171">
        <f t="shared" si="14"/>
        <v>0.66666666666666663</v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61"/>
      <c r="H30" s="172"/>
      <c r="I30" s="157"/>
      <c r="J30" s="172"/>
      <c r="K30" s="157"/>
      <c r="L30" s="162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0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64" t="s">
        <v>47</v>
      </c>
      <c r="D54" s="264"/>
      <c r="E54" s="264"/>
      <c r="F54" s="264"/>
      <c r="G54" s="179">
        <f t="shared" ref="G54:L54" si="37">IF(R56=0,"",IF(R56&gt;0,R55))</f>
        <v>0.4</v>
      </c>
      <c r="H54" s="180" t="str">
        <f t="shared" si="37"/>
        <v/>
      </c>
      <c r="I54" s="180">
        <f t="shared" si="37"/>
        <v>0.8</v>
      </c>
      <c r="J54" s="180" t="str">
        <f t="shared" si="37"/>
        <v/>
      </c>
      <c r="K54" s="180" t="str">
        <f t="shared" si="37"/>
        <v/>
      </c>
      <c r="L54" s="180">
        <f t="shared" si="37"/>
        <v>0.9</v>
      </c>
      <c r="M54" s="180"/>
      <c r="N54" s="180"/>
      <c r="O54" s="180"/>
      <c r="P54" s="180"/>
      <c r="Q54" s="180"/>
      <c r="R54" s="181">
        <f t="shared" ref="R54:W54" si="38">SUM(R18:R53)</f>
        <v>4</v>
      </c>
      <c r="S54" s="181">
        <f t="shared" si="38"/>
        <v>0</v>
      </c>
      <c r="T54" s="181">
        <f t="shared" si="38"/>
        <v>8</v>
      </c>
      <c r="U54" s="181">
        <f t="shared" si="38"/>
        <v>0</v>
      </c>
      <c r="V54" s="181">
        <f t="shared" si="38"/>
        <v>0</v>
      </c>
      <c r="W54" s="181">
        <f t="shared" si="38"/>
        <v>9</v>
      </c>
      <c r="X54" s="182">
        <f>SUM(AJ18:AJ53)</f>
        <v>7.0000000000000009</v>
      </c>
      <c r="Y54" s="182">
        <f t="shared" ref="Y54:AH54" si="39">SUM(Y18:Y53)</f>
        <v>0</v>
      </c>
      <c r="Z54" s="182">
        <f t="shared" si="39"/>
        <v>3.333333333333333</v>
      </c>
      <c r="AA54" s="182">
        <f t="shared" si="39"/>
        <v>3.6666666666666665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>
        <f>IF(X57=0,"",IF(X57&gt;0,$X$55))</f>
        <v>0.70000000000000007</v>
      </c>
      <c r="AK54" s="352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>
        <f t="shared" ref="R55:W55" si="40">R54/R56</f>
        <v>0.4</v>
      </c>
      <c r="S55" s="189" t="e">
        <f t="shared" si="40"/>
        <v>#DIV/0!</v>
      </c>
      <c r="T55" s="189">
        <f t="shared" si="40"/>
        <v>0.8</v>
      </c>
      <c r="U55" s="189" t="e">
        <f t="shared" si="40"/>
        <v>#DIV/0!</v>
      </c>
      <c r="V55" s="189" t="e">
        <f t="shared" si="40"/>
        <v>#DIV/0!</v>
      </c>
      <c r="W55" s="189">
        <f t="shared" si="40"/>
        <v>0.9</v>
      </c>
      <c r="X55" s="189">
        <f>X54/X57</f>
        <v>0.70000000000000007</v>
      </c>
      <c r="Y55" s="165">
        <f>Y54/10</f>
        <v>0</v>
      </c>
      <c r="Z55" s="165">
        <f t="shared" ref="Z55:AH55" si="41">Z54/10</f>
        <v>0.33333333333333331</v>
      </c>
      <c r="AA55" s="165">
        <f t="shared" si="41"/>
        <v>0.36666666666666664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10</v>
      </c>
      <c r="S56" s="3">
        <f t="shared" si="42"/>
        <v>0</v>
      </c>
      <c r="T56" s="3">
        <f t="shared" si="42"/>
        <v>10</v>
      </c>
      <c r="U56" s="3">
        <f t="shared" si="42"/>
        <v>0</v>
      </c>
      <c r="V56" s="3">
        <f t="shared" si="42"/>
        <v>0</v>
      </c>
      <c r="W56" s="3">
        <f t="shared" si="42"/>
        <v>10</v>
      </c>
      <c r="X56" s="3">
        <f>COUNTIF(AJ18:AJ53,"")</f>
        <v>26</v>
      </c>
      <c r="Y56" s="10" t="e">
        <f>Y54/C68*C70</f>
        <v>#DIV/0!</v>
      </c>
      <c r="Z56" s="10">
        <f>Z54/D68*D70</f>
        <v>0.33333333333333331</v>
      </c>
      <c r="AA56" s="10">
        <f>AA54/E68*E70</f>
        <v>0.36666666666666664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79"/>
      <c r="AO56" s="79"/>
      <c r="AP56" s="2">
        <f>(B54-AP55)</f>
        <v>10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4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0.4</v>
      </c>
      <c r="D63" s="10" t="e">
        <f t="shared" si="46"/>
        <v>#DIV/0!</v>
      </c>
      <c r="E63" s="10">
        <f t="shared" si="46"/>
        <v>0.8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</v>
      </c>
      <c r="I63" s="10">
        <f>$AJ$54</f>
        <v>0.70000000000000007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5</v>
      </c>
      <c r="E68" s="4">
        <f>COUNTIF($C$18:$C$53,"C")</f>
        <v>5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0.5</v>
      </c>
      <c r="E70" s="10">
        <f>E68/$B$54</f>
        <v>0.5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0.33333333333333331</v>
      </c>
      <c r="E71" s="10">
        <f>AA56</f>
        <v>0.36666666666666664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0.5</v>
      </c>
      <c r="E74" s="10">
        <f>IF($D$7="ja",E70,IF($D7="nee",E72))</f>
        <v>0.5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0.33333333333333331</v>
      </c>
      <c r="E75" s="10">
        <f>IF($D$7="ja",E71,IF($D$7="nee",E73))</f>
        <v>0.36666666666666664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606" priority="164" stopIfTrue="1" operator="equal">
      <formula>""</formula>
    </cfRule>
  </conditionalFormatting>
  <conditionalFormatting sqref="D7:D8 C9">
    <cfRule type="cellIs" dxfId="605" priority="193" stopIfTrue="1" operator="equal">
      <formula>"nee"</formula>
    </cfRule>
    <cfRule type="cellIs" dxfId="604" priority="192" stopIfTrue="1" operator="equal">
      <formula>"ja"</formula>
    </cfRule>
  </conditionalFormatting>
  <conditionalFormatting sqref="D18:D53">
    <cfRule type="cellIs" dxfId="603" priority="214" stopIfTrue="1" operator="equal">
      <formula>""</formula>
    </cfRule>
  </conditionalFormatting>
  <conditionalFormatting sqref="D18:E53">
    <cfRule type="cellIs" dxfId="602" priority="211" stopIfTrue="1" operator="equal">
      <formula>"x"</formula>
    </cfRule>
  </conditionalFormatting>
  <conditionalFormatting sqref="E18:E53">
    <cfRule type="cellIs" dxfId="601" priority="212" stopIfTrue="1" operator="equal">
      <formula>""</formula>
    </cfRule>
  </conditionalFormatting>
  <conditionalFormatting sqref="F11:F13">
    <cfRule type="expression" dxfId="600" priority="198" stopIfTrue="1">
      <formula>$I$3="ja"</formula>
    </cfRule>
    <cfRule type="expression" dxfId="599" priority="199" stopIfTrue="1">
      <formula>$K$3="ja"</formula>
    </cfRule>
  </conditionalFormatting>
  <conditionalFormatting sqref="F18:F53">
    <cfRule type="cellIs" dxfId="598" priority="110" stopIfTrue="1" operator="greaterThan">
      <formula>""</formula>
    </cfRule>
    <cfRule type="cellIs" dxfId="597" priority="109" stopIfTrue="1" operator="equal">
      <formula>""</formula>
    </cfRule>
  </conditionalFormatting>
  <conditionalFormatting sqref="G11:G13">
    <cfRule type="expression" dxfId="596" priority="201" stopIfTrue="1">
      <formula>$K$2="ja"</formula>
    </cfRule>
    <cfRule type="expression" dxfId="595" priority="174">
      <formula>$J$2="ja"</formula>
    </cfRule>
    <cfRule type="expression" dxfId="594" priority="200" stopIfTrue="1">
      <formula>$I$2="ja"</formula>
    </cfRule>
  </conditionalFormatting>
  <conditionalFormatting sqref="G18:L53">
    <cfRule type="cellIs" dxfId="593" priority="183" stopIfTrue="1" operator="equal">
      <formula>0</formula>
    </cfRule>
    <cfRule type="cellIs" dxfId="592" priority="185" stopIfTrue="1" operator="notEqual">
      <formula>$C18</formula>
    </cfRule>
    <cfRule type="cellIs" dxfId="591" priority="184" stopIfTrue="1" operator="lessThanOrEqual">
      <formula>$C18</formula>
    </cfRule>
  </conditionalFormatting>
  <conditionalFormatting sqref="H11:H13">
    <cfRule type="expression" dxfId="590" priority="203" stopIfTrue="1">
      <formula>$I$3="ja"</formula>
    </cfRule>
  </conditionalFormatting>
  <conditionalFormatting sqref="H11:I13">
    <cfRule type="expression" dxfId="589" priority="169">
      <formula>$L$2="ja"</formula>
    </cfRule>
  </conditionalFormatting>
  <conditionalFormatting sqref="H11:J13">
    <cfRule type="expression" dxfId="588" priority="166">
      <formula>$K$3="ja"</formula>
    </cfRule>
  </conditionalFormatting>
  <conditionalFormatting sqref="I11:I13">
    <cfRule type="expression" dxfId="587" priority="173">
      <formula>$J$2="ja"</formula>
    </cfRule>
    <cfRule type="expression" dxfId="586" priority="175">
      <formula>$K$2="ja"</formula>
    </cfRule>
  </conditionalFormatting>
  <conditionalFormatting sqref="I11:Q13">
    <cfRule type="expression" dxfId="585" priority="88">
      <formula>$I$3="ja"</formula>
    </cfRule>
  </conditionalFormatting>
  <conditionalFormatting sqref="K11:Q13">
    <cfRule type="expression" dxfId="584" priority="91" stopIfTrue="1">
      <formula>$R$2="ja"</formula>
    </cfRule>
    <cfRule type="expression" dxfId="583" priority="87">
      <formula>$J$2="ja"</formula>
    </cfRule>
    <cfRule type="expression" dxfId="582" priority="90" stopIfTrue="1">
      <formula>$L$2="ja"</formula>
    </cfRule>
    <cfRule type="expression" dxfId="581" priority="89" stopIfTrue="1">
      <formula>$K$2="ja"</formula>
    </cfRule>
  </conditionalFormatting>
  <conditionalFormatting sqref="AI18:AI53">
    <cfRule type="cellIs" dxfId="580" priority="208" stopIfTrue="1" operator="notEqual">
      <formula>""</formula>
    </cfRule>
  </conditionalFormatting>
  <conditionalFormatting sqref="AJ11:AK13">
    <cfRule type="cellIs" dxfId="577" priority="74" stopIfTrue="1" operator="lessThan">
      <formula>1</formula>
    </cfRule>
    <cfRule type="cellIs" dxfId="576" priority="73" stopIfTrue="1" operator="equal">
      <formula>1</formula>
    </cfRule>
  </conditionalFormatting>
  <conditionalFormatting sqref="AL18:AM53">
    <cfRule type="expression" dxfId="571" priority="114" stopIfTrue="1">
      <formula>$K$3="ja"</formula>
    </cfRule>
  </conditionalFormatting>
  <conditionalFormatting sqref="AN18:AN53">
    <cfRule type="cellIs" dxfId="570" priority="219" stopIfTrue="1" operator="equal">
      <formula>1</formula>
    </cfRule>
    <cfRule type="cellIs" dxfId="569" priority="220" stopIfTrue="1" operator="equal">
      <formula>""</formula>
    </cfRule>
  </conditionalFormatting>
  <conditionalFormatting sqref="AO18:AO53">
    <cfRule type="cellIs" dxfId="568" priority="223" stopIfTrue="1" operator="equal">
      <formula>""</formula>
    </cfRule>
    <cfRule type="cellIs" dxfId="567" priority="222" stopIfTrue="1" operator="equal">
      <formula>1</formula>
    </cfRule>
  </conditionalFormatting>
  <conditionalFormatting sqref="AR11:AR13">
    <cfRule type="expression" dxfId="561" priority="63" stopIfTrue="1">
      <formula>$I$3="ja"</formula>
    </cfRule>
  </conditionalFormatting>
  <conditionalFormatting sqref="AR11:AS13">
    <cfRule type="expression" dxfId="560" priority="66">
      <formula>$K$3="ja"</formula>
    </cfRule>
    <cfRule type="expression" dxfId="559" priority="65">
      <formula>$L$2="ja"</formula>
    </cfRule>
  </conditionalFormatting>
  <conditionalFormatting sqref="AS11:AS13">
    <cfRule type="expression" dxfId="553" priority="64">
      <formula>$K$2="ja"</formula>
    </cfRule>
  </conditionalFormatting>
  <conditionalFormatting sqref="AS11:AT13">
    <cfRule type="expression" dxfId="552" priority="58">
      <formula>$J$2="ja"</formula>
    </cfRule>
  </conditionalFormatting>
  <conditionalFormatting sqref="AS11:AU13">
    <cfRule type="expression" dxfId="551" priority="59">
      <formula>$I$3="ja"</formula>
    </cfRule>
  </conditionalFormatting>
  <conditionalFormatting sqref="AT11:AT13">
    <cfRule type="expression" dxfId="550" priority="61" stopIfTrue="1">
      <formula>$L$2="ja"</formula>
    </cfRule>
    <cfRule type="expression" dxfId="549" priority="62" stopIfTrue="1">
      <formula>$R$2="ja"</formula>
    </cfRule>
    <cfRule type="expression" dxfId="548" priority="60" stopIfTrue="1">
      <formula>$K$2="ja"</formula>
    </cfRule>
  </conditionalFormatting>
  <conditionalFormatting sqref="AU11:AU13 AX11:AX13">
    <cfRule type="expression" dxfId="546" priority="126" stopIfTrue="1">
      <formula>$K$3="ja"</formula>
    </cfRule>
  </conditionalFormatting>
  <conditionalFormatting sqref="AY18:AZ53">
    <cfRule type="expression" dxfId="539" priority="146" stopIfTrue="1">
      <formula>$K$3="ja"</formula>
    </cfRule>
  </conditionalFormatting>
  <conditionalFormatting sqref="AZ54">
    <cfRule type="expression" dxfId="538" priority="143" stopIfTrue="1">
      <formula>$I$3="ja"</formula>
    </cfRule>
    <cfRule type="expression" dxfId="537" priority="144" stopIfTrue="1">
      <formula>$K$3="ja"</formula>
    </cfRule>
  </conditionalFormatting>
  <conditionalFormatting sqref="AP18:AP53">
    <cfRule type="cellIs" dxfId="235" priority="29" stopIfTrue="1" operator="equal">
      <formula>"x"</formula>
    </cfRule>
    <cfRule type="expression" dxfId="234" priority="30" stopIfTrue="1">
      <formula>$B18&gt;0</formula>
    </cfRule>
    <cfRule type="cellIs" dxfId="233" priority="31" stopIfTrue="1" operator="equal">
      <formula>""</formula>
    </cfRule>
  </conditionalFormatting>
  <conditionalFormatting sqref="AQ18:AQ54">
    <cfRule type="expression" dxfId="232" priority="28" stopIfTrue="1">
      <formula>$K$3="ja"</formula>
    </cfRule>
  </conditionalFormatting>
  <conditionalFormatting sqref="AQ54">
    <cfRule type="expression" dxfId="231" priority="27" stopIfTrue="1">
      <formula>$I$3="ja"</formula>
    </cfRule>
  </conditionalFormatting>
  <conditionalFormatting sqref="AR54:AX54">
    <cfRule type="expression" dxfId="230" priority="25" stopIfTrue="1">
      <formula>$I$3="ja"</formula>
    </cfRule>
  </conditionalFormatting>
  <conditionalFormatting sqref="AR54:AT54">
    <cfRule type="expression" dxfId="229" priority="24" stopIfTrue="1">
      <formula>$K$3="ja"</formula>
    </cfRule>
  </conditionalFormatting>
  <conditionalFormatting sqref="AU54:AX54">
    <cfRule type="expression" dxfId="228" priority="26" stopIfTrue="1">
      <formula>$K$3="ja"</formula>
    </cfRule>
  </conditionalFormatting>
  <conditionalFormatting sqref="AR18:AS53">
    <cfRule type="cellIs" dxfId="227" priority="12" operator="equal">
      <formula>"2F"</formula>
    </cfRule>
  </conditionalFormatting>
  <conditionalFormatting sqref="AR18:AT53">
    <cfRule type="cellIs" dxfId="226" priority="14" operator="equal">
      <formula>"&lt;1F"</formula>
    </cfRule>
    <cfRule type="cellIs" dxfId="225" priority="15" operator="equal">
      <formula>"1F"</formula>
    </cfRule>
    <cfRule type="expression" dxfId="224" priority="16" stopIfTrue="1">
      <formula>$K$3="ja"</formula>
    </cfRule>
  </conditionalFormatting>
  <conditionalFormatting sqref="AT18:AT53">
    <cfRule type="cellIs" dxfId="223" priority="13" operator="equal">
      <formula>"1S"</formula>
    </cfRule>
  </conditionalFormatting>
  <conditionalFormatting sqref="AU18:AU53">
    <cfRule type="expression" dxfId="222" priority="20">
      <formula>$AV18=""</formula>
    </cfRule>
    <cfRule type="expression" dxfId="221" priority="21">
      <formula>$AV18&lt;$AQ18</formula>
    </cfRule>
    <cfRule type="expression" dxfId="220" priority="22">
      <formula>$AV18&gt;=$AQ18</formula>
    </cfRule>
  </conditionalFormatting>
  <conditionalFormatting sqref="AV18:AW53">
    <cfRule type="expression" dxfId="219" priority="23" stopIfTrue="1">
      <formula>$K$3="ja"</formula>
    </cfRule>
  </conditionalFormatting>
  <conditionalFormatting sqref="AX18:AX53">
    <cfRule type="expression" dxfId="218" priority="17">
      <formula>$AY18=""</formula>
    </cfRule>
    <cfRule type="expression" dxfId="217" priority="18">
      <formula>$AY18&lt;$AV18</formula>
    </cfRule>
    <cfRule type="expression" dxfId="216" priority="19">
      <formula>$AY18&gt;=$AV18</formula>
    </cfRule>
  </conditionalFormatting>
  <conditionalFormatting sqref="AJ18:AJ53">
    <cfRule type="cellIs" dxfId="195" priority="10" stopIfTrue="1" operator="equal">
      <formula>1</formula>
    </cfRule>
    <cfRule type="cellIs" dxfId="194" priority="11" stopIfTrue="1" operator="lessThan">
      <formula>1</formula>
    </cfRule>
  </conditionalFormatting>
  <conditionalFormatting sqref="AK18:AK53">
    <cfRule type="expression" dxfId="9" priority="2">
      <formula>$F18=""</formula>
    </cfRule>
    <cfRule type="expression" dxfId="8" priority="3">
      <formula>$AL18=""</formula>
    </cfRule>
    <cfRule type="expression" dxfId="7" priority="4">
      <formula>$AL18&lt;$AQ18</formula>
    </cfRule>
    <cfRule type="expression" dxfId="6" priority="5">
      <formula>$AL18&gt;=$AQ18</formula>
    </cfRule>
  </conditionalFormatting>
  <conditionalFormatting sqref="AK18:AK54">
    <cfRule type="expression" dxfId="5" priority="1">
      <formula>$B18&gt;0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1B6BB52F-1EE3-4E9F-AE80-F8131C433DFE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3E-B028-4376-8244-CA52D148E807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 t="str">
        <f>VLOOKUP($H$2,'groep 4'!A18:B53,2)</f>
        <v>leerling 8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4'!$C$2</f>
        <v>4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4'!B18</f>
        <v>leerling 1</v>
      </c>
    </row>
    <row r="7" spans="1:30" x14ac:dyDescent="0.45">
      <c r="A7" s="213">
        <v>2</v>
      </c>
      <c r="B7" s="212" t="str">
        <f>'groep 4'!B19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4'!B20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4'!B21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4'!B22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4'!B23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4'!B24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4'!B25</f>
        <v>leerling 8</v>
      </c>
      <c r="H13" s="217"/>
      <c r="I13" s="217"/>
      <c r="J13" s="217"/>
      <c r="K13" s="226" t="str">
        <f>VLOOKUP($H$2,'groep 4'!$A18:$L53,7)</f>
        <v>B</v>
      </c>
      <c r="L13" s="226">
        <f>VLOOKUP($H$2,'groep 4'!$A18:$L53,8)</f>
        <v>0</v>
      </c>
      <c r="M13" s="226" t="str">
        <f>VLOOKUP($H$2,'groep 4'!$A18:$L53,9)</f>
        <v>B</v>
      </c>
      <c r="N13" s="226">
        <f>VLOOKUP($H$2,'groep 4'!$A18:$L53,10)</f>
        <v>0</v>
      </c>
      <c r="O13" s="226">
        <f>VLOOKUP($H$2,'groep 4'!$A18:$L53,11)</f>
        <v>0</v>
      </c>
      <c r="P13" s="226" t="str">
        <f>VLOOKUP($H$2,'groep 4'!$A18:$L53,12)</f>
        <v>C</v>
      </c>
      <c r="Q13" s="226"/>
      <c r="R13" s="226" t="str">
        <f>VLOOKUP($H$2,'groep 4'!$A18:$L53,3)</f>
        <v>B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4'!B26</f>
        <v>leerling 9</v>
      </c>
      <c r="K14" s="225">
        <f>IF(K13="E",1,IF(K13="D",2,IF(K13="C",3,IF(K13="B",4,IF(K13="A",5,IF(K13=5,1,IF(K13=4,2,IF(K13=3,3,IF(K13=2,4,IF(K13=1,5,IF(K13=0,"")))))))))))</f>
        <v>4</v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>
        <f t="shared" si="0"/>
        <v>4</v>
      </c>
      <c r="N14" s="225" t="str">
        <f t="shared" si="0"/>
        <v/>
      </c>
      <c r="O14" s="225" t="str">
        <f t="shared" si="0"/>
        <v/>
      </c>
      <c r="P14" s="225">
        <f t="shared" si="0"/>
        <v>3</v>
      </c>
      <c r="Q14" s="252">
        <f>U14/T14</f>
        <v>3.6666666666666665</v>
      </c>
      <c r="R14" s="225">
        <f>IF(R13="E",1,IF(R13="D",2,IF(R13="C",3,IF(R13="B",4,IF(R13="A",5,IF(R13=5,1,IF(R13=4,2,IF(R13=3,3,IF(R13=2,4,IF(R13=1,5,IF(R13=0,"")))))))))))</f>
        <v>4</v>
      </c>
      <c r="S14" s="252">
        <f>S13</f>
        <v>2.4299999999999997</v>
      </c>
      <c r="T14" s="256">
        <f>COUNTIF(K14:P14,"&gt;0")</f>
        <v>3</v>
      </c>
      <c r="U14" s="256">
        <f>SUM(K14:P14)</f>
        <v>11</v>
      </c>
    </row>
    <row r="15" spans="1:30" x14ac:dyDescent="0.45">
      <c r="A15" s="213">
        <v>10</v>
      </c>
      <c r="B15" s="212" t="str">
        <f>'groep 4'!B27</f>
        <v>leerling 10</v>
      </c>
    </row>
    <row r="16" spans="1:30" x14ac:dyDescent="0.45">
      <c r="A16" s="213">
        <v>11</v>
      </c>
      <c r="B16" s="212">
        <f>'groep 4'!B28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4'!B29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4'!B30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4'!B31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4'!B32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4'!B33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4'!B34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4'!B35</f>
        <v>0</v>
      </c>
    </row>
    <row r="24" spans="1:21" x14ac:dyDescent="0.45">
      <c r="A24" s="213">
        <v>19</v>
      </c>
      <c r="B24" s="212">
        <f>'groep 4'!B36</f>
        <v>0</v>
      </c>
    </row>
    <row r="25" spans="1:21" x14ac:dyDescent="0.45">
      <c r="A25" s="213">
        <v>20</v>
      </c>
      <c r="B25" s="212">
        <f>'groep 4'!B37</f>
        <v>0</v>
      </c>
    </row>
    <row r="26" spans="1:21" x14ac:dyDescent="0.45">
      <c r="A26" s="213">
        <v>21</v>
      </c>
      <c r="B26" s="212">
        <f>'groep 4'!B38</f>
        <v>0</v>
      </c>
    </row>
    <row r="27" spans="1:21" x14ac:dyDescent="0.45">
      <c r="A27" s="213">
        <v>22</v>
      </c>
      <c r="B27" s="212">
        <f>'groep 4'!B39</f>
        <v>0</v>
      </c>
    </row>
    <row r="28" spans="1:21" ht="15.75" customHeight="1" x14ac:dyDescent="0.45">
      <c r="A28" s="213">
        <v>23</v>
      </c>
      <c r="B28" s="212">
        <f>'groep 4'!B40</f>
        <v>0</v>
      </c>
    </row>
    <row r="29" spans="1:21" x14ac:dyDescent="0.45">
      <c r="A29" s="213">
        <v>24</v>
      </c>
      <c r="B29" s="212">
        <f>'groep 4'!B41</f>
        <v>0</v>
      </c>
    </row>
    <row r="30" spans="1:21" x14ac:dyDescent="0.45">
      <c r="A30" s="213">
        <v>25</v>
      </c>
      <c r="B30" s="212">
        <f>'groep 4'!B42</f>
        <v>0</v>
      </c>
    </row>
    <row r="31" spans="1:21" x14ac:dyDescent="0.45">
      <c r="A31" s="213">
        <v>26</v>
      </c>
      <c r="B31" s="212">
        <f>'groep 4'!B43</f>
        <v>0</v>
      </c>
    </row>
    <row r="32" spans="1:21" x14ac:dyDescent="0.45">
      <c r="A32" s="213">
        <v>27</v>
      </c>
      <c r="B32" s="212">
        <f>'groep 4'!B44</f>
        <v>0</v>
      </c>
    </row>
    <row r="33" spans="1:7" x14ac:dyDescent="0.45">
      <c r="A33" s="213">
        <v>28</v>
      </c>
      <c r="B33" s="212">
        <f>'groep 4'!B45</f>
        <v>0</v>
      </c>
    </row>
    <row r="34" spans="1:7" x14ac:dyDescent="0.45">
      <c r="A34" s="213">
        <v>29</v>
      </c>
      <c r="B34" s="212">
        <f>'groep 4'!B46</f>
        <v>0</v>
      </c>
    </row>
    <row r="35" spans="1:7" x14ac:dyDescent="0.45">
      <c r="A35" s="213">
        <v>30</v>
      </c>
      <c r="B35" s="212">
        <f>'groep 4'!B47</f>
        <v>0</v>
      </c>
    </row>
    <row r="36" spans="1:7" x14ac:dyDescent="0.45">
      <c r="A36" s="213">
        <v>31</v>
      </c>
      <c r="B36" s="212">
        <f>'groep 4'!B48</f>
        <v>0</v>
      </c>
    </row>
    <row r="37" spans="1:7" x14ac:dyDescent="0.45">
      <c r="A37" s="213">
        <v>32</v>
      </c>
      <c r="B37" s="212">
        <f>'groep 4'!B49</f>
        <v>0</v>
      </c>
    </row>
    <row r="38" spans="1:7" x14ac:dyDescent="0.45">
      <c r="A38" s="213">
        <v>33</v>
      </c>
      <c r="B38" s="212">
        <f>'groep 4'!B50</f>
        <v>0</v>
      </c>
    </row>
    <row r="39" spans="1:7" x14ac:dyDescent="0.45">
      <c r="A39" s="213">
        <v>34</v>
      </c>
      <c r="B39" s="212">
        <f>'groep 4'!B51</f>
        <v>0</v>
      </c>
    </row>
    <row r="40" spans="1:7" x14ac:dyDescent="0.45">
      <c r="A40" s="213">
        <v>35</v>
      </c>
      <c r="B40" s="212">
        <f>'groep 4'!B52</f>
        <v>0</v>
      </c>
    </row>
    <row r="41" spans="1:7" x14ac:dyDescent="0.45">
      <c r="A41" s="213">
        <v>36</v>
      </c>
      <c r="B41" s="212">
        <f>'groep 4'!B53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5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str">
        <f>IF($C$2=5,"ja",IF($C$2="5A","ja",IF($C$2="5B","ja",IF($C$2="5C","ja"))))</f>
        <v>ja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 t="s">
        <v>162</v>
      </c>
      <c r="C18" s="200" t="s">
        <v>16</v>
      </c>
      <c r="D18" s="159"/>
      <c r="E18" s="159"/>
      <c r="F18" s="160"/>
      <c r="G18" s="205" t="s">
        <v>17</v>
      </c>
      <c r="H18" s="204" t="s">
        <v>16</v>
      </c>
      <c r="I18" s="204" t="s">
        <v>16</v>
      </c>
      <c r="J18" s="172"/>
      <c r="K18" s="157"/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4</v>
      </c>
      <c r="P18" s="164">
        <f t="shared" ref="P18:P53" si="1">IF(I18="E",1,IF(I18="D",2,IF(I18="C",3,IF(I18="B",4,IF(I18="A",5,IF(I18=5,1,IF(I18=4,2,IF(I18=3,3,IF(I18=2,4,IF(I18=1,5,IF(I18="","")))))))))))</f>
        <v>4</v>
      </c>
      <c r="Q18" s="164">
        <f>IF(M18&lt;3,2,IF($C$2&lt;6,0,IF($C$2&gt;=6,SUM(N18:P18))))</f>
        <v>0</v>
      </c>
      <c r="R18" s="104" t="str">
        <f t="shared" ref="R18:R53" si="2">IF(C18="","",IF(G18="","",IF(G18=$C18,1,IF(G18&lt;$C18,1,IF(G18&gt;$C18,"",IF(G18="A+",1))))))</f>
        <v/>
      </c>
      <c r="S18" s="104">
        <f t="shared" ref="S18:S53" si="3">IF(C18="","",IF(H18="","",IF(H18=$C18,1,IF(H18&lt;$C18,1,IF(H18&gt;$C18,"",IF(H18="A+",1))))))</f>
        <v>1</v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3</v>
      </c>
      <c r="Y18" s="165" t="b">
        <f t="shared" ref="Y18:Y53" si="8">IF($C18="A",$AJ18)</f>
        <v>0</v>
      </c>
      <c r="Z18" s="165">
        <f t="shared" ref="Z18:Z53" si="9">IF($C18="B",$AJ18)</f>
        <v>0.75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4</v>
      </c>
      <c r="AJ18" s="167">
        <f t="shared" ref="AJ18:AJ53" si="14">IF(AI18=0,"",IF(AI18="","",IF(AI18&gt;0,X18/AI18)))</f>
        <v>0.75</v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/>
      </c>
      <c r="AS18" s="351" t="str">
        <f>IF($C$2&lt;6,"",IF($M18&lt;3,"",IF(P18=1,"&lt;1F",IF(P18&gt;3,"2F",IF(P18&gt;1,"1F")))))</f>
        <v/>
      </c>
      <c r="AT18" s="351" t="str">
        <f>IF($C$2&lt;6,"",IF($M18&lt;3,"",IF(N18&lt;=2,"&lt;1F",IF(N18&gt;3,"1S",IF(N18&gt;2,"1F")))))</f>
        <v/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 t="s">
        <v>169</v>
      </c>
      <c r="C19" s="200" t="s">
        <v>17</v>
      </c>
      <c r="D19" s="138"/>
      <c r="E19" s="138"/>
      <c r="F19" s="160"/>
      <c r="G19" s="205" t="s">
        <v>17</v>
      </c>
      <c r="H19" s="204" t="s">
        <v>17</v>
      </c>
      <c r="I19" s="204" t="s">
        <v>16</v>
      </c>
      <c r="J19" s="172"/>
      <c r="K19" s="157"/>
      <c r="L19" s="203" t="s">
        <v>17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3</v>
      </c>
      <c r="O19" s="164">
        <f t="shared" si="0"/>
        <v>3</v>
      </c>
      <c r="P19" s="164">
        <f t="shared" si="1"/>
        <v>4</v>
      </c>
      <c r="Q19" s="164">
        <f t="shared" ref="Q19:Q53" si="18">IF($C$2&lt;6,0,IF($C$2&gt;=6,SUM(N19:P19)))</f>
        <v>0</v>
      </c>
      <c r="R19" s="104">
        <f t="shared" si="2"/>
        <v>1</v>
      </c>
      <c r="S19" s="104">
        <f t="shared" si="3"/>
        <v>1</v>
      </c>
      <c r="T19" s="104">
        <f t="shared" si="4"/>
        <v>1</v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>
        <f t="shared" si="6"/>
        <v>1</v>
      </c>
      <c r="X19" s="104">
        <f t="shared" si="7"/>
        <v>4</v>
      </c>
      <c r="Y19" s="165" t="b">
        <f t="shared" si="8"/>
        <v>0</v>
      </c>
      <c r="Z19" s="165" t="b">
        <f t="shared" si="9"/>
        <v>0</v>
      </c>
      <c r="AA19" s="165">
        <f t="shared" si="10"/>
        <v>1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4</v>
      </c>
      <c r="AJ19" s="171">
        <f t="shared" si="14"/>
        <v>1</v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/>
      </c>
      <c r="AS19" s="351" t="str">
        <f t="shared" ref="AS19:AS53" si="32">IF($C$2&lt;6,"",IF($M19&lt;3,"",IF(P19=1,"&lt;1F",IF(P19&gt;3,"2F",IF(P19&gt;1,"1F")))))</f>
        <v/>
      </c>
      <c r="AT19" s="351" t="str">
        <f t="shared" ref="AT19:AT53" si="33">IF($C$2&lt;6,"",IF($M19&lt;3,"",IF(N19&lt;=2,"&lt;1F",IF(N19&gt;3,"1S",IF(N19&gt;2,"1F")))))</f>
        <v/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 t="s">
        <v>170</v>
      </c>
      <c r="C20" s="200" t="s">
        <v>17</v>
      </c>
      <c r="D20" s="138"/>
      <c r="E20" s="139"/>
      <c r="F20" s="160"/>
      <c r="G20" s="205" t="s">
        <v>17</v>
      </c>
      <c r="H20" s="172" t="s">
        <v>16</v>
      </c>
      <c r="I20" s="204" t="s">
        <v>17</v>
      </c>
      <c r="J20" s="172"/>
      <c r="K20" s="157"/>
      <c r="L20" s="203" t="s">
        <v>17</v>
      </c>
      <c r="M20" s="163">
        <f t="shared" si="16"/>
        <v>3</v>
      </c>
      <c r="N20" s="164">
        <f t="shared" si="17"/>
        <v>3</v>
      </c>
      <c r="O20" s="164">
        <f t="shared" si="0"/>
        <v>4</v>
      </c>
      <c r="P20" s="164">
        <f t="shared" si="1"/>
        <v>3</v>
      </c>
      <c r="Q20" s="164">
        <f t="shared" si="18"/>
        <v>0</v>
      </c>
      <c r="R20" s="104">
        <f t="shared" si="2"/>
        <v>1</v>
      </c>
      <c r="S20" s="104">
        <f t="shared" si="3"/>
        <v>1</v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4</v>
      </c>
      <c r="Y20" s="165" t="b">
        <f t="shared" si="8"/>
        <v>0</v>
      </c>
      <c r="Z20" s="165" t="b">
        <f t="shared" si="9"/>
        <v>0</v>
      </c>
      <c r="AA20" s="165">
        <f t="shared" si="10"/>
        <v>1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4</v>
      </c>
      <c r="AJ20" s="171">
        <f t="shared" si="14"/>
        <v>1</v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 t="s">
        <v>171</v>
      </c>
      <c r="C21" s="200" t="s">
        <v>18</v>
      </c>
      <c r="D21" s="139"/>
      <c r="E21" s="139"/>
      <c r="F21" s="160"/>
      <c r="G21" s="205" t="s">
        <v>17</v>
      </c>
      <c r="H21" s="172" t="s">
        <v>19</v>
      </c>
      <c r="I21" s="204" t="s">
        <v>17</v>
      </c>
      <c r="J21" s="172"/>
      <c r="K21" s="157"/>
      <c r="L21" s="203" t="s">
        <v>18</v>
      </c>
      <c r="M21" s="163">
        <f t="shared" si="16"/>
        <v>3</v>
      </c>
      <c r="N21" s="164">
        <f t="shared" si="17"/>
        <v>2</v>
      </c>
      <c r="O21" s="164">
        <f t="shared" si="0"/>
        <v>1</v>
      </c>
      <c r="P21" s="164">
        <f t="shared" si="1"/>
        <v>3</v>
      </c>
      <c r="Q21" s="164">
        <f t="shared" si="18"/>
        <v>0</v>
      </c>
      <c r="R21" s="104">
        <f t="shared" si="2"/>
        <v>1</v>
      </c>
      <c r="S21" s="104" t="str">
        <f t="shared" si="3"/>
        <v/>
      </c>
      <c r="T21" s="104">
        <f t="shared" si="4"/>
        <v>1</v>
      </c>
      <c r="U21" s="104" t="str">
        <f t="shared" si="19"/>
        <v/>
      </c>
      <c r="V21" s="104" t="str">
        <f t="shared" si="5"/>
        <v/>
      </c>
      <c r="W21" s="104">
        <f t="shared" si="6"/>
        <v>1</v>
      </c>
      <c r="X21" s="104">
        <f t="shared" si="7"/>
        <v>3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>
        <f t="shared" si="11"/>
        <v>0.75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4</v>
      </c>
      <c r="AJ21" s="171">
        <f t="shared" si="14"/>
        <v>0.75</v>
      </c>
      <c r="AK21" s="348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/>
      </c>
      <c r="AS21" s="351" t="str">
        <f t="shared" si="32"/>
        <v/>
      </c>
      <c r="AT21" s="351" t="str">
        <f t="shared" si="33"/>
        <v/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 t="s">
        <v>172</v>
      </c>
      <c r="C22" s="200" t="s">
        <v>15</v>
      </c>
      <c r="D22" s="139"/>
      <c r="E22" s="139"/>
      <c r="F22" s="160"/>
      <c r="G22" s="205" t="s">
        <v>15</v>
      </c>
      <c r="H22" s="204" t="s">
        <v>15</v>
      </c>
      <c r="I22" s="204" t="s">
        <v>16</v>
      </c>
      <c r="J22" s="172"/>
      <c r="K22" s="157"/>
      <c r="L22" s="203" t="s">
        <v>15</v>
      </c>
      <c r="M22" s="163">
        <f t="shared" si="16"/>
        <v>3</v>
      </c>
      <c r="N22" s="164">
        <f t="shared" si="17"/>
        <v>5</v>
      </c>
      <c r="O22" s="164">
        <f t="shared" si="0"/>
        <v>5</v>
      </c>
      <c r="P22" s="164">
        <f t="shared" si="1"/>
        <v>4</v>
      </c>
      <c r="Q22" s="164">
        <f t="shared" si="18"/>
        <v>0</v>
      </c>
      <c r="R22" s="104">
        <f t="shared" si="2"/>
        <v>1</v>
      </c>
      <c r="S22" s="104">
        <f t="shared" si="3"/>
        <v>1</v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3</v>
      </c>
      <c r="Y22" s="165">
        <f t="shared" si="8"/>
        <v>0.75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4</v>
      </c>
      <c r="AJ22" s="171">
        <f t="shared" si="14"/>
        <v>0.75</v>
      </c>
      <c r="AK22" s="348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/>
      </c>
      <c r="AS22" s="351" t="str">
        <f t="shared" si="32"/>
        <v/>
      </c>
      <c r="AT22" s="351" t="str">
        <f t="shared" si="33"/>
        <v/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 t="s">
        <v>173</v>
      </c>
      <c r="C23" s="200" t="s">
        <v>16</v>
      </c>
      <c r="D23" s="139"/>
      <c r="E23" s="139"/>
      <c r="F23" s="160"/>
      <c r="G23" s="205" t="s">
        <v>16</v>
      </c>
      <c r="H23" s="172" t="s">
        <v>16</v>
      </c>
      <c r="I23" s="204" t="s">
        <v>16</v>
      </c>
      <c r="J23" s="172"/>
      <c r="K23" s="157"/>
      <c r="L23" s="203" t="s">
        <v>16</v>
      </c>
      <c r="M23" s="163">
        <f t="shared" si="16"/>
        <v>3</v>
      </c>
      <c r="N23" s="164">
        <f t="shared" si="17"/>
        <v>4</v>
      </c>
      <c r="O23" s="164">
        <f t="shared" si="0"/>
        <v>4</v>
      </c>
      <c r="P23" s="164">
        <f t="shared" si="1"/>
        <v>4</v>
      </c>
      <c r="Q23" s="164">
        <f t="shared" si="18"/>
        <v>0</v>
      </c>
      <c r="R23" s="104">
        <f t="shared" si="2"/>
        <v>1</v>
      </c>
      <c r="S23" s="104">
        <f t="shared" si="3"/>
        <v>1</v>
      </c>
      <c r="T23" s="104">
        <f t="shared" si="4"/>
        <v>1</v>
      </c>
      <c r="U23" s="104" t="str">
        <f t="shared" si="19"/>
        <v/>
      </c>
      <c r="V23" s="104" t="str">
        <f t="shared" si="5"/>
        <v/>
      </c>
      <c r="W23" s="104">
        <f t="shared" si="6"/>
        <v>1</v>
      </c>
      <c r="X23" s="104">
        <f t="shared" si="7"/>
        <v>4</v>
      </c>
      <c r="Y23" s="165" t="b">
        <f t="shared" si="8"/>
        <v>0</v>
      </c>
      <c r="Z23" s="165">
        <f t="shared" si="9"/>
        <v>1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4</v>
      </c>
      <c r="AJ23" s="171">
        <f t="shared" si="14"/>
        <v>1</v>
      </c>
      <c r="AK23" s="348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/>
      </c>
      <c r="AS23" s="351" t="str">
        <f t="shared" si="32"/>
        <v/>
      </c>
      <c r="AT23" s="351" t="str">
        <f t="shared" si="33"/>
        <v/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 t="s">
        <v>174</v>
      </c>
      <c r="C24" s="200" t="s">
        <v>15</v>
      </c>
      <c r="D24" s="138"/>
      <c r="E24" s="138"/>
      <c r="F24" s="160"/>
      <c r="G24" s="205" t="s">
        <v>15</v>
      </c>
      <c r="H24" s="172" t="s">
        <v>15</v>
      </c>
      <c r="I24" s="204" t="s">
        <v>15</v>
      </c>
      <c r="J24" s="172"/>
      <c r="K24" s="157"/>
      <c r="L24" s="203" t="s">
        <v>15</v>
      </c>
      <c r="M24" s="163">
        <f t="shared" si="16"/>
        <v>3</v>
      </c>
      <c r="N24" s="164">
        <f t="shared" si="17"/>
        <v>5</v>
      </c>
      <c r="O24" s="164">
        <f t="shared" si="0"/>
        <v>5</v>
      </c>
      <c r="P24" s="164">
        <f t="shared" si="1"/>
        <v>5</v>
      </c>
      <c r="Q24" s="164">
        <f t="shared" si="18"/>
        <v>0</v>
      </c>
      <c r="R24" s="104">
        <f t="shared" si="2"/>
        <v>1</v>
      </c>
      <c r="S24" s="104">
        <f t="shared" si="3"/>
        <v>1</v>
      </c>
      <c r="T24" s="104">
        <f t="shared" si="4"/>
        <v>1</v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4</v>
      </c>
      <c r="Y24" s="165">
        <f t="shared" si="8"/>
        <v>1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4</v>
      </c>
      <c r="AJ24" s="171">
        <f t="shared" si="14"/>
        <v>1</v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 t="s">
        <v>175</v>
      </c>
      <c r="C25" s="200" t="s">
        <v>17</v>
      </c>
      <c r="D25" s="139"/>
      <c r="E25" s="139"/>
      <c r="F25" s="160"/>
      <c r="G25" s="173" t="s">
        <v>17</v>
      </c>
      <c r="H25" s="172" t="s">
        <v>18</v>
      </c>
      <c r="I25" s="172" t="s">
        <v>17</v>
      </c>
      <c r="J25" s="172"/>
      <c r="K25" s="172"/>
      <c r="L25" s="174" t="s">
        <v>17</v>
      </c>
      <c r="M25" s="163">
        <f t="shared" si="16"/>
        <v>3</v>
      </c>
      <c r="N25" s="164">
        <f t="shared" si="17"/>
        <v>3</v>
      </c>
      <c r="O25" s="164">
        <f t="shared" si="0"/>
        <v>2</v>
      </c>
      <c r="P25" s="164">
        <f t="shared" si="1"/>
        <v>3</v>
      </c>
      <c r="Q25" s="164">
        <f t="shared" si="18"/>
        <v>0</v>
      </c>
      <c r="R25" s="104">
        <f t="shared" si="2"/>
        <v>1</v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>
        <f t="shared" si="6"/>
        <v>1</v>
      </c>
      <c r="X25" s="104">
        <f t="shared" si="7"/>
        <v>3</v>
      </c>
      <c r="Y25" s="165" t="b">
        <f t="shared" si="8"/>
        <v>0</v>
      </c>
      <c r="Z25" s="165" t="b">
        <f t="shared" si="9"/>
        <v>0</v>
      </c>
      <c r="AA25" s="165">
        <f t="shared" si="10"/>
        <v>0.75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4</v>
      </c>
      <c r="AJ25" s="171">
        <f t="shared" si="14"/>
        <v>0.75</v>
      </c>
      <c r="AK25" s="348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/>
      </c>
      <c r="AS25" s="351" t="str">
        <f t="shared" si="32"/>
        <v/>
      </c>
      <c r="AT25" s="351" t="str">
        <f t="shared" si="33"/>
        <v/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348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/>
      </c>
      <c r="AS26" s="351" t="str">
        <f t="shared" si="32"/>
        <v/>
      </c>
      <c r="AT26" s="351" t="str">
        <f t="shared" si="33"/>
        <v/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/>
      <c r="C27" s="158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348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/>
      </c>
      <c r="AS27" s="351" t="str">
        <f t="shared" si="32"/>
        <v/>
      </c>
      <c r="AT27" s="351" t="str">
        <f t="shared" si="33"/>
        <v/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158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8</v>
      </c>
      <c r="C54" s="264" t="s">
        <v>47</v>
      </c>
      <c r="D54" s="264"/>
      <c r="E54" s="264"/>
      <c r="F54" s="264"/>
      <c r="G54" s="179">
        <f t="shared" ref="G54:L54" si="37">IF(R56=0,"",IF(R56&gt;0,R55))</f>
        <v>0.875</v>
      </c>
      <c r="H54" s="180">
        <f t="shared" si="37"/>
        <v>0.75</v>
      </c>
      <c r="I54" s="180">
        <f t="shared" si="37"/>
        <v>0.875</v>
      </c>
      <c r="J54" s="180" t="str">
        <f t="shared" si="37"/>
        <v/>
      </c>
      <c r="K54" s="180" t="str">
        <f t="shared" si="37"/>
        <v/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7</v>
      </c>
      <c r="S54" s="181">
        <f t="shared" si="38"/>
        <v>6</v>
      </c>
      <c r="T54" s="181">
        <f t="shared" si="38"/>
        <v>7</v>
      </c>
      <c r="U54" s="181">
        <f t="shared" si="38"/>
        <v>0</v>
      </c>
      <c r="V54" s="181">
        <f t="shared" si="38"/>
        <v>0</v>
      </c>
      <c r="W54" s="181">
        <f t="shared" si="38"/>
        <v>8</v>
      </c>
      <c r="X54" s="182">
        <f>SUM(AJ18:AJ53)</f>
        <v>7</v>
      </c>
      <c r="Y54" s="182">
        <f t="shared" ref="Y54:AH54" si="39">SUM(Y18:Y53)</f>
        <v>1.75</v>
      </c>
      <c r="Z54" s="182">
        <f t="shared" si="39"/>
        <v>1.75</v>
      </c>
      <c r="AA54" s="182">
        <f t="shared" si="39"/>
        <v>2.75</v>
      </c>
      <c r="AB54" s="182">
        <f t="shared" si="39"/>
        <v>0.75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>
        <f>IF(X57=0,"",IF(X57&gt;0,$X$55))</f>
        <v>0.875</v>
      </c>
      <c r="AK54" s="352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>
        <f t="shared" ref="R55:W55" si="40">R54/R56</f>
        <v>0.875</v>
      </c>
      <c r="S55" s="189">
        <f t="shared" si="40"/>
        <v>0.75</v>
      </c>
      <c r="T55" s="189">
        <f t="shared" si="40"/>
        <v>0.875</v>
      </c>
      <c r="U55" s="189" t="e">
        <f t="shared" si="40"/>
        <v>#DIV/0!</v>
      </c>
      <c r="V55" s="189" t="e">
        <f t="shared" si="40"/>
        <v>#DIV/0!</v>
      </c>
      <c r="W55" s="189">
        <f t="shared" si="40"/>
        <v>1</v>
      </c>
      <c r="X55" s="189">
        <f>X54/X57</f>
        <v>0.875</v>
      </c>
      <c r="Y55" s="165">
        <f>Y54/10</f>
        <v>0.17499999999999999</v>
      </c>
      <c r="Z55" s="165">
        <f t="shared" ref="Z55:AH55" si="41">Z54/10</f>
        <v>0.17499999999999999</v>
      </c>
      <c r="AA55" s="165">
        <f t="shared" si="41"/>
        <v>0.27500000000000002</v>
      </c>
      <c r="AB55" s="165">
        <f t="shared" si="41"/>
        <v>7.4999999999999997E-2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8</v>
      </c>
      <c r="S56" s="3">
        <f t="shared" si="42"/>
        <v>8</v>
      </c>
      <c r="T56" s="3">
        <f t="shared" si="42"/>
        <v>8</v>
      </c>
      <c r="U56" s="3">
        <f t="shared" si="42"/>
        <v>0</v>
      </c>
      <c r="V56" s="3">
        <f t="shared" si="42"/>
        <v>0</v>
      </c>
      <c r="W56" s="3">
        <f t="shared" si="42"/>
        <v>8</v>
      </c>
      <c r="X56" s="3">
        <f>COUNTIF(AJ18:AJ53,"")</f>
        <v>28</v>
      </c>
      <c r="Y56" s="10">
        <f>Y54/C68*C70</f>
        <v>0.21875</v>
      </c>
      <c r="Z56" s="10">
        <f>Z54/D68*D70</f>
        <v>0.21875</v>
      </c>
      <c r="AA56" s="10">
        <f>AA54/E68*E70</f>
        <v>0.34375</v>
      </c>
      <c r="AB56" s="10">
        <f>AB54/F68*F70</f>
        <v>9.375E-2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8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5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0.875</v>
      </c>
      <c r="D63" s="10">
        <f t="shared" si="46"/>
        <v>0.75</v>
      </c>
      <c r="E63" s="10">
        <f t="shared" si="46"/>
        <v>0.875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0.25</v>
      </c>
      <c r="D70" s="10">
        <f>D68/$B$54</f>
        <v>0.25</v>
      </c>
      <c r="E70" s="10">
        <f>E68/$B$54</f>
        <v>0.375</v>
      </c>
      <c r="F70" s="10">
        <f>F68/$B$54</f>
        <v>0.125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0.21875</v>
      </c>
      <c r="D71" s="10">
        <f>Z56</f>
        <v>0.21875</v>
      </c>
      <c r="E71" s="10">
        <f>AA56</f>
        <v>0.34375</v>
      </c>
      <c r="F71" s="10">
        <f>AB56</f>
        <v>9.375E-2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0.25</v>
      </c>
      <c r="D74" s="10">
        <f>IF($D$7="ja",D70,IF($D7="nee",D72))</f>
        <v>0.25</v>
      </c>
      <c r="E74" s="10">
        <f>IF($D$7="ja",E70,IF($D7="nee",E72))</f>
        <v>0.375</v>
      </c>
      <c r="F74" s="10">
        <f>IF($D$7="ja",F70,IF($D7="nee",F72))</f>
        <v>0.125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0.21875</v>
      </c>
      <c r="D75" s="10">
        <f>IF($D$7="ja",D71,IF($D$7="nee",D73))</f>
        <v>0.21875</v>
      </c>
      <c r="E75" s="10">
        <f>IF($D$7="ja",E71,IF($D$7="nee",E73))</f>
        <v>0.34375</v>
      </c>
      <c r="F75" s="10">
        <f>IF($D$7="ja",F71,IF($D$7="nee",F73))</f>
        <v>9.375E-2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458" priority="159" stopIfTrue="1" operator="equal">
      <formula>""</formula>
    </cfRule>
  </conditionalFormatting>
  <conditionalFormatting sqref="D7:D8 C9">
    <cfRule type="cellIs" dxfId="457" priority="195" stopIfTrue="1" operator="equal">
      <formula>"nee"</formula>
    </cfRule>
    <cfRule type="cellIs" dxfId="456" priority="194" stopIfTrue="1" operator="equal">
      <formula>"ja"</formula>
    </cfRule>
  </conditionalFormatting>
  <conditionalFormatting sqref="D18:D53">
    <cfRule type="cellIs" dxfId="455" priority="214" stopIfTrue="1" operator="equal">
      <formula>""</formula>
    </cfRule>
  </conditionalFormatting>
  <conditionalFormatting sqref="D18:E53">
    <cfRule type="cellIs" dxfId="454" priority="211" stopIfTrue="1" operator="equal">
      <formula>"x"</formula>
    </cfRule>
  </conditionalFormatting>
  <conditionalFormatting sqref="E18:E53">
    <cfRule type="cellIs" dxfId="453" priority="212" stopIfTrue="1" operator="equal">
      <formula>""</formula>
    </cfRule>
  </conditionalFormatting>
  <conditionalFormatting sqref="F11:F13">
    <cfRule type="expression" dxfId="452" priority="201" stopIfTrue="1">
      <formula>$K$3="ja"</formula>
    </cfRule>
    <cfRule type="expression" dxfId="451" priority="200" stopIfTrue="1">
      <formula>$I$3="ja"</formula>
    </cfRule>
  </conditionalFormatting>
  <conditionalFormatting sqref="F18:F53">
    <cfRule type="cellIs" dxfId="450" priority="98" stopIfTrue="1" operator="greaterThan">
      <formula>""</formula>
    </cfRule>
    <cfRule type="cellIs" dxfId="449" priority="97" stopIfTrue="1" operator="equal">
      <formula>""</formula>
    </cfRule>
  </conditionalFormatting>
  <conditionalFormatting sqref="G11:G13">
    <cfRule type="expression" dxfId="448" priority="202" stopIfTrue="1">
      <formula>$I$2="ja"</formula>
    </cfRule>
    <cfRule type="expression" dxfId="447" priority="203" stopIfTrue="1">
      <formula>$K$2="ja"</formula>
    </cfRule>
    <cfRule type="expression" dxfId="446" priority="176">
      <formula>$J$2="ja"</formula>
    </cfRule>
  </conditionalFormatting>
  <conditionalFormatting sqref="G18:L53">
    <cfRule type="cellIs" dxfId="445" priority="186" stopIfTrue="1" operator="lessThanOrEqual">
      <formula>$C18</formula>
    </cfRule>
    <cfRule type="cellIs" dxfId="444" priority="187" stopIfTrue="1" operator="notEqual">
      <formula>$C18</formula>
    </cfRule>
    <cfRule type="cellIs" dxfId="443" priority="185" stopIfTrue="1" operator="equal">
      <formula>0</formula>
    </cfRule>
  </conditionalFormatting>
  <conditionalFormatting sqref="H11:H13">
    <cfRule type="expression" dxfId="442" priority="204" stopIfTrue="1">
      <formula>$I$3="ja"</formula>
    </cfRule>
  </conditionalFormatting>
  <conditionalFormatting sqref="H11:I13">
    <cfRule type="expression" dxfId="441" priority="171">
      <formula>$L$2="ja"</formula>
    </cfRule>
  </conditionalFormatting>
  <conditionalFormatting sqref="H11:J13">
    <cfRule type="expression" dxfId="440" priority="168">
      <formula>$K$3="ja"</formula>
    </cfRule>
  </conditionalFormatting>
  <conditionalFormatting sqref="I11:I13">
    <cfRule type="expression" dxfId="439" priority="177">
      <formula>$K$2="ja"</formula>
    </cfRule>
    <cfRule type="expression" dxfId="438" priority="175">
      <formula>$J$2="ja"</formula>
    </cfRule>
  </conditionalFormatting>
  <conditionalFormatting sqref="I11:Q13">
    <cfRule type="expression" dxfId="437" priority="76">
      <formula>$I$3="ja"</formula>
    </cfRule>
  </conditionalFormatting>
  <conditionalFormatting sqref="K11:Q13">
    <cfRule type="expression" dxfId="436" priority="79" stopIfTrue="1">
      <formula>$R$2="ja"</formula>
    </cfRule>
    <cfRule type="expression" dxfId="435" priority="78" stopIfTrue="1">
      <formula>$L$2="ja"</formula>
    </cfRule>
    <cfRule type="expression" dxfId="434" priority="75">
      <formula>$J$2="ja"</formula>
    </cfRule>
    <cfRule type="expression" dxfId="433" priority="77" stopIfTrue="1">
      <formula>$K$2="ja"</formula>
    </cfRule>
  </conditionalFormatting>
  <conditionalFormatting sqref="AI18:AI53">
    <cfRule type="cellIs" dxfId="432" priority="208" stopIfTrue="1" operator="notEqual">
      <formula>""</formula>
    </cfRule>
  </conditionalFormatting>
  <conditionalFormatting sqref="AJ11:AK13">
    <cfRule type="cellIs" dxfId="429" priority="73" stopIfTrue="1" operator="equal">
      <formula>1</formula>
    </cfRule>
    <cfRule type="cellIs" dxfId="428" priority="74" stopIfTrue="1" operator="lessThan">
      <formula>1</formula>
    </cfRule>
  </conditionalFormatting>
  <conditionalFormatting sqref="AL18:AM53">
    <cfRule type="expression" dxfId="423" priority="99" stopIfTrue="1">
      <formula>$K$3="ja"</formula>
    </cfRule>
  </conditionalFormatting>
  <conditionalFormatting sqref="AN18:AN53">
    <cfRule type="cellIs" dxfId="422" priority="160" stopIfTrue="1" operator="equal">
      <formula>1</formula>
    </cfRule>
    <cfRule type="cellIs" dxfId="421" priority="161" stopIfTrue="1" operator="equal">
      <formula>""</formula>
    </cfRule>
  </conditionalFormatting>
  <conditionalFormatting sqref="AO18:AO53">
    <cfRule type="cellIs" dxfId="420" priority="162" stopIfTrue="1" operator="equal">
      <formula>1</formula>
    </cfRule>
    <cfRule type="cellIs" dxfId="419" priority="163" stopIfTrue="1" operator="equal">
      <formula>""</formula>
    </cfRule>
  </conditionalFormatting>
  <conditionalFormatting sqref="AR11:AR13">
    <cfRule type="expression" dxfId="413" priority="63" stopIfTrue="1">
      <formula>$I$3="ja"</formula>
    </cfRule>
  </conditionalFormatting>
  <conditionalFormatting sqref="AR11:AS13">
    <cfRule type="expression" dxfId="412" priority="66">
      <formula>$K$3="ja"</formula>
    </cfRule>
    <cfRule type="expression" dxfId="411" priority="65">
      <formula>$L$2="ja"</formula>
    </cfRule>
  </conditionalFormatting>
  <conditionalFormatting sqref="AS11:AS13">
    <cfRule type="expression" dxfId="405" priority="64">
      <formula>$K$2="ja"</formula>
    </cfRule>
  </conditionalFormatting>
  <conditionalFormatting sqref="AS11:AT13">
    <cfRule type="expression" dxfId="404" priority="58">
      <formula>$J$2="ja"</formula>
    </cfRule>
  </conditionalFormatting>
  <conditionalFormatting sqref="AS11:AU13">
    <cfRule type="expression" dxfId="403" priority="59">
      <formula>$I$3="ja"</formula>
    </cfRule>
  </conditionalFormatting>
  <conditionalFormatting sqref="AT11:AT13">
    <cfRule type="expression" dxfId="402" priority="61" stopIfTrue="1">
      <formula>$L$2="ja"</formula>
    </cfRule>
    <cfRule type="expression" dxfId="401" priority="62" stopIfTrue="1">
      <formula>$R$2="ja"</formula>
    </cfRule>
    <cfRule type="expression" dxfId="400" priority="60" stopIfTrue="1">
      <formula>$K$2="ja"</formula>
    </cfRule>
  </conditionalFormatting>
  <conditionalFormatting sqref="AU11:AU13 AX11:AX13">
    <cfRule type="expression" dxfId="398" priority="121" stopIfTrue="1">
      <formula>$K$3="ja"</formula>
    </cfRule>
  </conditionalFormatting>
  <conditionalFormatting sqref="AY18:AZ53">
    <cfRule type="expression" dxfId="389" priority="141" stopIfTrue="1">
      <formula>$K$3="ja"</formula>
    </cfRule>
  </conditionalFormatting>
  <conditionalFormatting sqref="AZ54">
    <cfRule type="expression" dxfId="388" priority="138" stopIfTrue="1">
      <formula>$I$3="ja"</formula>
    </cfRule>
    <cfRule type="expression" dxfId="387" priority="139" stopIfTrue="1">
      <formula>$K$3="ja"</formula>
    </cfRule>
  </conditionalFormatting>
  <conditionalFormatting sqref="B18:B53">
    <cfRule type="cellIs" dxfId="384" priority="51" stopIfTrue="1" operator="equal">
      <formula>""</formula>
    </cfRule>
  </conditionalFormatting>
  <conditionalFormatting sqref="AP18:AP53">
    <cfRule type="cellIs" dxfId="255" priority="32" stopIfTrue="1" operator="equal">
      <formula>"x"</formula>
    </cfRule>
    <cfRule type="expression" dxfId="254" priority="33" stopIfTrue="1">
      <formula>$B18&gt;0</formula>
    </cfRule>
    <cfRule type="cellIs" dxfId="253" priority="34" stopIfTrue="1" operator="equal">
      <formula>""</formula>
    </cfRule>
  </conditionalFormatting>
  <conditionalFormatting sqref="AQ18:AQ54">
    <cfRule type="expression" dxfId="252" priority="31" stopIfTrue="1">
      <formula>$K$3="ja"</formula>
    </cfRule>
  </conditionalFormatting>
  <conditionalFormatting sqref="AQ54">
    <cfRule type="expression" dxfId="251" priority="30" stopIfTrue="1">
      <formula>$I$3="ja"</formula>
    </cfRule>
  </conditionalFormatting>
  <conditionalFormatting sqref="AR54:AX54">
    <cfRule type="expression" dxfId="250" priority="28" stopIfTrue="1">
      <formula>$I$3="ja"</formula>
    </cfRule>
  </conditionalFormatting>
  <conditionalFormatting sqref="AR54:AT54">
    <cfRule type="expression" dxfId="249" priority="27" stopIfTrue="1">
      <formula>$K$3="ja"</formula>
    </cfRule>
  </conditionalFormatting>
  <conditionalFormatting sqref="AU54:AX54">
    <cfRule type="expression" dxfId="248" priority="29" stopIfTrue="1">
      <formula>$K$3="ja"</formula>
    </cfRule>
  </conditionalFormatting>
  <conditionalFormatting sqref="AR18:AS53">
    <cfRule type="cellIs" dxfId="247" priority="15" operator="equal">
      <formula>"2F"</formula>
    </cfRule>
  </conditionalFormatting>
  <conditionalFormatting sqref="AR18:AT53">
    <cfRule type="cellIs" dxfId="246" priority="17" operator="equal">
      <formula>"&lt;1F"</formula>
    </cfRule>
    <cfRule type="cellIs" dxfId="245" priority="18" operator="equal">
      <formula>"1F"</formula>
    </cfRule>
    <cfRule type="expression" dxfId="244" priority="19" stopIfTrue="1">
      <formula>$K$3="ja"</formula>
    </cfRule>
  </conditionalFormatting>
  <conditionalFormatting sqref="AT18:AT53">
    <cfRule type="cellIs" dxfId="243" priority="16" operator="equal">
      <formula>"1S"</formula>
    </cfRule>
  </conditionalFormatting>
  <conditionalFormatting sqref="AU18:AU53">
    <cfRule type="expression" dxfId="242" priority="23">
      <formula>$AV18=""</formula>
    </cfRule>
    <cfRule type="expression" dxfId="241" priority="24">
      <formula>$AV18&lt;$AQ18</formula>
    </cfRule>
    <cfRule type="expression" dxfId="240" priority="25">
      <formula>$AV18&gt;=$AQ18</formula>
    </cfRule>
  </conditionalFormatting>
  <conditionalFormatting sqref="AV18:AW53">
    <cfRule type="expression" dxfId="239" priority="26" stopIfTrue="1">
      <formula>$K$3="ja"</formula>
    </cfRule>
  </conditionalFormatting>
  <conditionalFormatting sqref="AX18:AX53">
    <cfRule type="expression" dxfId="238" priority="20">
      <formula>$AY18=""</formula>
    </cfRule>
    <cfRule type="expression" dxfId="237" priority="21">
      <formula>$AY18&lt;$AV18</formula>
    </cfRule>
    <cfRule type="expression" dxfId="236" priority="22">
      <formula>$AY18&gt;=$AV18</formula>
    </cfRule>
  </conditionalFormatting>
  <conditionalFormatting sqref="AJ18:AJ53">
    <cfRule type="cellIs" dxfId="193" priority="13" stopIfTrue="1" operator="equal">
      <formula>1</formula>
    </cfRule>
    <cfRule type="cellIs" dxfId="192" priority="14" stopIfTrue="1" operator="lessThan">
      <formula>1</formula>
    </cfRule>
  </conditionalFormatting>
  <conditionalFormatting sqref="AK18:AK53">
    <cfRule type="expression" dxfId="14" priority="2">
      <formula>$F18=""</formula>
    </cfRule>
    <cfRule type="expression" dxfId="13" priority="3">
      <formula>$AL18=""</formula>
    </cfRule>
    <cfRule type="expression" dxfId="12" priority="4">
      <formula>$AL18&lt;$AQ18</formula>
    </cfRule>
    <cfRule type="expression" dxfId="11" priority="5">
      <formula>$AL18&gt;=$AQ18</formula>
    </cfRule>
  </conditionalFormatting>
  <conditionalFormatting sqref="AK18:AK54">
    <cfRule type="expression" dxfId="10" priority="1">
      <formula>$B18&gt;0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X18:AX53 AU18:AU53" xr:uid="{7BD103FA-713D-4712-8416-E8ABCB9CAF27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54A1-03EF-4554-BAE9-08D3BABA449D}">
  <sheetPr>
    <tabColor rgb="FFCCCCFF"/>
    <pageSetUpPr fitToPage="1"/>
  </sheetPr>
  <dimension ref="A2:AD54"/>
  <sheetViews>
    <sheetView showGridLines="0" showRowColHeaders="0" zoomScale="65" zoomScaleNormal="65" workbookViewId="0">
      <selection activeCell="H3" sqref="H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1</v>
      </c>
      <c r="I2" s="277" t="str">
        <f>VLOOKUP($H$2,'groep 5'!A18:B53,2)</f>
        <v>leerling 1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5'!$C$2</f>
        <v>5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5'!B18</f>
        <v>leerling 1</v>
      </c>
    </row>
    <row r="7" spans="1:30" x14ac:dyDescent="0.45">
      <c r="A7" s="213">
        <v>2</v>
      </c>
      <c r="B7" s="212" t="str">
        <f>'groep 5'!B19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5'!B20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5'!B21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5'!B22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5'!B23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5'!B24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5'!B25</f>
        <v>leerling 8</v>
      </c>
      <c r="H13" s="217"/>
      <c r="I13" s="217"/>
      <c r="J13" s="217"/>
      <c r="K13" s="226" t="str">
        <f>VLOOKUP($H$2,'groep 5'!$A18:$L53,7)</f>
        <v>C</v>
      </c>
      <c r="L13" s="226" t="str">
        <f>VLOOKUP($H$2,'groep 5'!$A18:$L53,8)</f>
        <v>B</v>
      </c>
      <c r="M13" s="226" t="str">
        <f>VLOOKUP($H$2,'groep 5'!$A18:$L53,9)</f>
        <v>B</v>
      </c>
      <c r="N13" s="226">
        <f>VLOOKUP($H$2,'groep 5'!$A18:$L53,10)</f>
        <v>0</v>
      </c>
      <c r="O13" s="226">
        <f>VLOOKUP($H$2,'groep 5'!$A18:$L53,11)</f>
        <v>0</v>
      </c>
      <c r="P13" s="226" t="str">
        <f>VLOOKUP($H$2,'groep 5'!$A18:$L53,12)</f>
        <v>B</v>
      </c>
      <c r="Q13" s="226"/>
      <c r="R13" s="226" t="str">
        <f>VLOOKUP($H$2,'groep 5'!$A18:$L53,3)</f>
        <v>B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5'!B26</f>
        <v>0</v>
      </c>
      <c r="K14" s="225">
        <f>IF(K13="E",1,IF(K13="D",2,IF(K13="C",3,IF(K13="B",4,IF(K13="A",5,IF(K13=5,1,IF(K13=4,2,IF(K13=3,3,IF(K13=2,4,IF(K13=1,5,IF(K13=0,"")))))))))))</f>
        <v>3</v>
      </c>
      <c r="L14" s="225">
        <f t="shared" ref="L14:P14" si="0">IF(L13="E",1,IF(L13="D",2,IF(L13="C",3,IF(L13="B",4,IF(L13="A",5,IF(L13=5,1,IF(L13=4,2,IF(L13=3,3,IF(L13=2,4,IF(L13=1,5,IF(L13=0,"")))))))))))</f>
        <v>4</v>
      </c>
      <c r="M14" s="225">
        <f t="shared" si="0"/>
        <v>4</v>
      </c>
      <c r="N14" s="225" t="str">
        <f t="shared" si="0"/>
        <v/>
      </c>
      <c r="O14" s="225" t="str">
        <f t="shared" si="0"/>
        <v/>
      </c>
      <c r="P14" s="225">
        <f t="shared" si="0"/>
        <v>4</v>
      </c>
      <c r="Q14" s="252">
        <f>U14/T14</f>
        <v>3.75</v>
      </c>
      <c r="R14" s="225">
        <f>IF(R13="E",1,IF(R13="D",2,IF(R13="C",3,IF(R13="B",4,IF(R13="A",5,IF(R13=5,1,IF(R13=4,2,IF(R13=3,3,IF(R13=2,4,IF(R13=1,5,IF(R13=0,"")))))))))))</f>
        <v>4</v>
      </c>
      <c r="S14" s="252">
        <f>S13</f>
        <v>2.4299999999999997</v>
      </c>
      <c r="T14" s="256">
        <f>COUNTIF(K14:P14,"&gt;0")</f>
        <v>4</v>
      </c>
      <c r="U14" s="256">
        <f>SUM(K14:P14)</f>
        <v>15</v>
      </c>
    </row>
    <row r="15" spans="1:30" x14ac:dyDescent="0.45">
      <c r="A15" s="213">
        <v>10</v>
      </c>
      <c r="B15" s="212">
        <f>'groep 5'!B27</f>
        <v>0</v>
      </c>
    </row>
    <row r="16" spans="1:30" x14ac:dyDescent="0.45">
      <c r="A16" s="213">
        <v>11</v>
      </c>
      <c r="B16" s="212">
        <f>'groep 5'!B28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5'!B29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5'!B30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5'!B31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5'!B32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5'!B33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5'!B34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5'!B35</f>
        <v>0</v>
      </c>
    </row>
    <row r="24" spans="1:21" x14ac:dyDescent="0.45">
      <c r="A24" s="213">
        <v>19</v>
      </c>
      <c r="B24" s="212">
        <f>'groep 5'!B36</f>
        <v>0</v>
      </c>
    </row>
    <row r="25" spans="1:21" x14ac:dyDescent="0.45">
      <c r="A25" s="213">
        <v>20</v>
      </c>
      <c r="B25" s="212">
        <f>'groep 5'!B37</f>
        <v>0</v>
      </c>
    </row>
    <row r="26" spans="1:21" x14ac:dyDescent="0.45">
      <c r="A26" s="213">
        <v>21</v>
      </c>
      <c r="B26" s="212">
        <f>'groep 5'!B38</f>
        <v>0</v>
      </c>
    </row>
    <row r="27" spans="1:21" x14ac:dyDescent="0.45">
      <c r="A27" s="213">
        <v>22</v>
      </c>
      <c r="B27" s="212">
        <f>'groep 5'!B39</f>
        <v>0</v>
      </c>
    </row>
    <row r="28" spans="1:21" ht="15.75" customHeight="1" x14ac:dyDescent="0.45">
      <c r="A28" s="213">
        <v>23</v>
      </c>
      <c r="B28" s="212">
        <f>'groep 5'!B40</f>
        <v>0</v>
      </c>
    </row>
    <row r="29" spans="1:21" x14ac:dyDescent="0.45">
      <c r="A29" s="213">
        <v>24</v>
      </c>
      <c r="B29" s="212">
        <f>'groep 5'!B41</f>
        <v>0</v>
      </c>
    </row>
    <row r="30" spans="1:21" x14ac:dyDescent="0.45">
      <c r="A30" s="213">
        <v>25</v>
      </c>
      <c r="B30" s="212">
        <f>'groep 5'!B42</f>
        <v>0</v>
      </c>
    </row>
    <row r="31" spans="1:21" x14ac:dyDescent="0.45">
      <c r="A31" s="213">
        <v>26</v>
      </c>
      <c r="B31" s="212">
        <f>'groep 5'!B43</f>
        <v>0</v>
      </c>
    </row>
    <row r="32" spans="1:21" x14ac:dyDescent="0.45">
      <c r="A32" s="213">
        <v>27</v>
      </c>
      <c r="B32" s="212">
        <f>'groep 5'!B44</f>
        <v>0</v>
      </c>
    </row>
    <row r="33" spans="1:7" x14ac:dyDescent="0.45">
      <c r="A33" s="213">
        <v>28</v>
      </c>
      <c r="B33" s="212">
        <f>'groep 5'!B45</f>
        <v>0</v>
      </c>
    </row>
    <row r="34" spans="1:7" x14ac:dyDescent="0.45">
      <c r="A34" s="213">
        <v>29</v>
      </c>
      <c r="B34" s="212">
        <f>'groep 5'!B46</f>
        <v>0</v>
      </c>
    </row>
    <row r="35" spans="1:7" x14ac:dyDescent="0.45">
      <c r="A35" s="213">
        <v>30</v>
      </c>
      <c r="B35" s="212">
        <f>'groep 5'!B47</f>
        <v>0</v>
      </c>
    </row>
    <row r="36" spans="1:7" x14ac:dyDescent="0.45">
      <c r="A36" s="213">
        <v>31</v>
      </c>
      <c r="B36" s="212">
        <f>'groep 5'!B48</f>
        <v>0</v>
      </c>
    </row>
    <row r="37" spans="1:7" x14ac:dyDescent="0.45">
      <c r="A37" s="213">
        <v>32</v>
      </c>
      <c r="B37" s="212">
        <f>'groep 5'!B49</f>
        <v>0</v>
      </c>
    </row>
    <row r="38" spans="1:7" x14ac:dyDescent="0.45">
      <c r="A38" s="213">
        <v>33</v>
      </c>
      <c r="B38" s="212">
        <f>'groep 5'!B50</f>
        <v>0</v>
      </c>
    </row>
    <row r="39" spans="1:7" x14ac:dyDescent="0.45">
      <c r="A39" s="213">
        <v>34</v>
      </c>
      <c r="B39" s="212">
        <f>'groep 5'!B51</f>
        <v>0</v>
      </c>
    </row>
    <row r="40" spans="1:7" x14ac:dyDescent="0.45">
      <c r="A40" s="213">
        <v>35</v>
      </c>
      <c r="B40" s="212">
        <f>'groep 5'!B52</f>
        <v>0</v>
      </c>
    </row>
    <row r="41" spans="1:7" x14ac:dyDescent="0.45">
      <c r="A41" s="213">
        <v>36</v>
      </c>
      <c r="B41" s="212">
        <f>'groep 5'!B53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00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6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str">
        <f>IF($C$2=6,"ja",IF($C$2="6A","ja",IF($C$2="6B","ja",IF($C$2="6C","ja"))))</f>
        <v>ja</v>
      </c>
      <c r="M2" s="77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2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2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2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2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 t="s">
        <v>162</v>
      </c>
      <c r="C18" s="200" t="s">
        <v>17</v>
      </c>
      <c r="D18" s="159"/>
      <c r="E18" s="159"/>
      <c r="F18" s="160"/>
      <c r="G18" s="205" t="s">
        <v>19</v>
      </c>
      <c r="H18" s="204" t="s">
        <v>17</v>
      </c>
      <c r="I18" s="204" t="s">
        <v>17</v>
      </c>
      <c r="J18" s="204"/>
      <c r="K18" s="204"/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3</v>
      </c>
      <c r="P18" s="164">
        <f t="shared" ref="P18:P53" si="1">IF(I18="E",1,IF(I18="D",2,IF(I18="C",3,IF(I18="B",4,IF(I18="A",5,IF(I18=5,1,IF(I18=4,2,IF(I18=3,3,IF(I18=2,4,IF(I18=1,5,IF(I18="","")))))))))))</f>
        <v>3</v>
      </c>
      <c r="Q18" s="164">
        <f>IF(M18&lt;3,2,IF($C$2&lt;6,0,IF($C$2&gt;=6,SUM(N18:P18))))</f>
        <v>10</v>
      </c>
      <c r="R18" s="104" t="str">
        <f t="shared" ref="R18:R53" si="2">IF(C18="","",IF(G18="","",IF(G18=$C18,1,IF(G18&lt;$C18,1,IF(G18&gt;$C18,"",IF(G18="A+",1))))))</f>
        <v/>
      </c>
      <c r="S18" s="104">
        <f t="shared" ref="S18:S53" si="3">IF(C18="","",IF(H18="","",IF(H18=$C18,1,IF(H18&lt;$C18,1,IF(H18&gt;$C18,"",IF(H18="A+",1))))))</f>
        <v>1</v>
      </c>
      <c r="T18" s="104">
        <f t="shared" ref="T18:T53" si="4">IF(C18="","",IF(I18="","",IF(I18=$C18,1,IF(I18&lt;$C18,1,IF(I18&gt;$C18,"",IF(I18="A+",1))))))</f>
        <v>1</v>
      </c>
      <c r="U18" s="104" t="str">
        <f t="shared" ref="U18:U53" si="5">IF(C18="","",IF(J18="","",IF(J18=$C18,1,IF(J18&lt;$C18,1,IF(J18&gt;$C18,"",IF(J18="A+",1))))))</f>
        <v/>
      </c>
      <c r="V18" s="104" t="str">
        <f t="shared" ref="V18:V53" si="6">IF(C18="","",IF(K18="","",IF(K18=$C18,1,IF(K18&lt;$C18,1,IF(K18&gt;$C18,"",IF(K18="A+",1))))))</f>
        <v/>
      </c>
      <c r="W18" s="104">
        <f t="shared" ref="W18:W53" si="7">IF(C18="","",IF(L18="","",IF(L18=$C18,1,IF(L18&lt;$C18,1,IF(L18&gt;$C18,"",IF(L18="A+",1))))))</f>
        <v>1</v>
      </c>
      <c r="X18" s="104">
        <f t="shared" ref="X18:X53" si="8">SUM(R18:W18)</f>
        <v>3</v>
      </c>
      <c r="Y18" s="165" t="b">
        <f t="shared" ref="Y18:Y53" si="9">IF($C18="A",$AJ18)</f>
        <v>0</v>
      </c>
      <c r="Z18" s="165" t="b">
        <f t="shared" ref="Z18:Z53" si="10">IF($C18="B",$AJ18)</f>
        <v>0</v>
      </c>
      <c r="AA18" s="165">
        <f t="shared" ref="AA18:AA53" si="11">IF($C18="C",$AJ18)</f>
        <v>0.75</v>
      </c>
      <c r="AB18" s="165" t="b">
        <f t="shared" ref="AB18:AB53" si="12">IF($C18="D",$AJ18)</f>
        <v>0</v>
      </c>
      <c r="AC18" s="165" t="b">
        <f t="shared" ref="AC18:AC53" si="13">IF($C18="E",$AJ18)</f>
        <v>0</v>
      </c>
      <c r="AD18" s="165" t="b">
        <f>IF($C18=1,$AJ18)</f>
        <v>0</v>
      </c>
      <c r="AE18" s="165" t="b">
        <f t="shared" ref="AE18:AE53" si="14">IF($C18=2,$AJ18)</f>
        <v>0</v>
      </c>
      <c r="AF18" s="165" t="b">
        <f t="shared" ref="AF18:AF53" si="15">IF($C18=3,$AJ18)</f>
        <v>0</v>
      </c>
      <c r="AG18" s="165" t="b">
        <f t="shared" ref="AG18:AG53" si="16">IF($C18=4,$AJ18)</f>
        <v>0</v>
      </c>
      <c r="AH18" s="165" t="b">
        <f t="shared" ref="AH18:AH53" si="17">IF($C18=5,$AJ18)</f>
        <v>0</v>
      </c>
      <c r="AI18" s="166">
        <f t="shared" ref="AI18:AI53" si="18">IF(C18="","",IF(C18&gt;0,COUNTA(G18:L18)))</f>
        <v>4</v>
      </c>
      <c r="AJ18" s="167">
        <f t="shared" ref="AJ18:AJ53" si="19">IF(AI18=0,"",IF(AI18="","",IF(AI18&gt;0,X18/AI18)))</f>
        <v>0.75</v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68">
        <f>IF(AK18="","",IF(AK18="PRO",1,IF(AK18="PRO/BBL",2,IF(AK18="BBL",3,IF(AK18="BBL/Kader",4,IF(AK18="Kader",5,IF(AK18="Kader/TL",6,IF(AK18="TL",7,IF(AK18="TL/Havo",8,IF(AK18="Havo",9,IF(AK18="Havo/VWO",10,IF(AK18="VWO",11))))))))))))</f>
        <v>6</v>
      </c>
      <c r="AM18" s="169">
        <f>IF(AL18="",0,IF(AL18&lt;AQ18,0,IF(AL18&gt;=AQ18,1)))</f>
        <v>0</v>
      </c>
      <c r="AN18" s="150" t="str">
        <f t="shared" ref="AN18:AN53" si="20">IF(E18="","",IF(E18="x",1))</f>
        <v/>
      </c>
      <c r="AO18" s="151" t="str">
        <f t="shared" ref="AO18:AO53" si="21"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>1F</v>
      </c>
      <c r="AS18" s="351" t="str">
        <f>IF($C$2&lt;6,"",IF($M18&lt;3,"",IF(P18=1,"&lt;1F",IF(P18&gt;3,"2F",IF(P18&gt;1,"1F")))))</f>
        <v>1F</v>
      </c>
      <c r="AT18" s="351" t="str">
        <f>IF($C$2&lt;6,"",IF($M18&lt;3,"",IF(N18&lt;=2,"&lt;1F",IF(N18&gt;3,"1S",IF(N18&gt;2,"1F")))))</f>
        <v>1S</v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353" t="s">
        <v>169</v>
      </c>
      <c r="C19" s="200" t="s">
        <v>17</v>
      </c>
      <c r="D19" s="138"/>
      <c r="E19" s="138"/>
      <c r="F19" s="160"/>
      <c r="G19" s="205" t="s">
        <v>19</v>
      </c>
      <c r="H19" s="204" t="s">
        <v>17</v>
      </c>
      <c r="I19" s="204" t="s">
        <v>17</v>
      </c>
      <c r="J19" s="172"/>
      <c r="K19" s="157"/>
      <c r="L19" s="203" t="s">
        <v>16</v>
      </c>
      <c r="M19" s="163">
        <f t="shared" ref="M19:M53" si="23">COUNTA(H19,I19,L19)</f>
        <v>3</v>
      </c>
      <c r="N19" s="164">
        <f t="shared" ref="N19:N53" si="24">IF(L19="E",1,IF(L19="D",2,IF(L19="C",3,IF(L19="B",4,IF(L19="A",5,IF(L19=5,1,IF(L19=4,2,IF(L19=3,3,IF(L19=2,4,IF(L19=1,5,IF(L19="","")))))))))))</f>
        <v>4</v>
      </c>
      <c r="O19" s="164">
        <f t="shared" si="0"/>
        <v>3</v>
      </c>
      <c r="P19" s="164">
        <f t="shared" si="1"/>
        <v>3</v>
      </c>
      <c r="Q19" s="164">
        <f t="shared" ref="Q19:Q53" si="25">IF($C$2&lt;6,0,IF($C$2&gt;=6,SUM(N19:P19)))</f>
        <v>10</v>
      </c>
      <c r="R19" s="104" t="str">
        <f t="shared" si="2"/>
        <v/>
      </c>
      <c r="S19" s="104">
        <f t="shared" si="3"/>
        <v>1</v>
      </c>
      <c r="T19" s="104">
        <f t="shared" si="4"/>
        <v>1</v>
      </c>
      <c r="U19" s="104" t="str">
        <f t="shared" si="5"/>
        <v/>
      </c>
      <c r="V19" s="104" t="str">
        <f t="shared" si="6"/>
        <v/>
      </c>
      <c r="W19" s="104">
        <f t="shared" si="7"/>
        <v>1</v>
      </c>
      <c r="X19" s="104">
        <f t="shared" si="8"/>
        <v>3</v>
      </c>
      <c r="Y19" s="165" t="b">
        <f t="shared" si="9"/>
        <v>0</v>
      </c>
      <c r="Z19" s="165" t="b">
        <f t="shared" si="10"/>
        <v>0</v>
      </c>
      <c r="AA19" s="165">
        <f t="shared" si="11"/>
        <v>0.75</v>
      </c>
      <c r="AB19" s="165" t="b">
        <f t="shared" si="12"/>
        <v>0</v>
      </c>
      <c r="AC19" s="165" t="b">
        <f t="shared" si="13"/>
        <v>0</v>
      </c>
      <c r="AD19" s="165" t="b">
        <f t="shared" ref="AD19:AD53" si="26">IF($C19="1",$AJ19)</f>
        <v>0</v>
      </c>
      <c r="AE19" s="165" t="b">
        <f t="shared" si="14"/>
        <v>0</v>
      </c>
      <c r="AF19" s="165" t="b">
        <f t="shared" si="15"/>
        <v>0</v>
      </c>
      <c r="AG19" s="165" t="b">
        <f t="shared" si="16"/>
        <v>0</v>
      </c>
      <c r="AH19" s="165" t="b">
        <f t="shared" si="17"/>
        <v>0</v>
      </c>
      <c r="AI19" s="170">
        <f t="shared" si="18"/>
        <v>4</v>
      </c>
      <c r="AJ19" s="171">
        <f t="shared" si="19"/>
        <v>0.75</v>
      </c>
      <c r="AK19" s="348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Kader/TL</v>
      </c>
      <c r="AL19" s="168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6</v>
      </c>
      <c r="AM19" s="169">
        <f t="shared" ref="AM19:AM53" si="29">IF(AL19="",0,IF(AL19&lt;AQ19,0,IF(AL19&gt;=AQ19,1)))</f>
        <v>0</v>
      </c>
      <c r="AN19" s="150" t="str">
        <f t="shared" si="20"/>
        <v/>
      </c>
      <c r="AO19" s="151" t="str">
        <f t="shared" si="21"/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>1F</v>
      </c>
      <c r="AS19" s="351" t="str">
        <f t="shared" ref="AS19:AS53" si="32">IF($C$2&lt;6,"",IF($M19&lt;3,"",IF(P19=1,"&lt;1F",IF(P19&gt;3,"2F",IF(P19&gt;1,"1F")))))</f>
        <v>1F</v>
      </c>
      <c r="AT19" s="351" t="str">
        <f t="shared" ref="AT19:AT53" si="33">IF($C$2&lt;6,"",IF($M19&lt;3,"",IF(N19&lt;=2,"&lt;1F",IF(N19&gt;3,"1S",IF(N19&gt;2,"1F")))))</f>
        <v>1S</v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353" t="s">
        <v>170</v>
      </c>
      <c r="C20" s="200" t="s">
        <v>17</v>
      </c>
      <c r="D20" s="138"/>
      <c r="E20" s="139"/>
      <c r="F20" s="160"/>
      <c r="G20" s="161"/>
      <c r="H20" s="157"/>
      <c r="I20" s="204" t="s">
        <v>17</v>
      </c>
      <c r="J20" s="172"/>
      <c r="K20" s="157"/>
      <c r="L20" s="162"/>
      <c r="M20" s="163">
        <f t="shared" si="23"/>
        <v>1</v>
      </c>
      <c r="N20" s="164" t="str">
        <f t="shared" si="24"/>
        <v/>
      </c>
      <c r="O20" s="164" t="str">
        <f t="shared" si="0"/>
        <v/>
      </c>
      <c r="P20" s="164">
        <f t="shared" si="1"/>
        <v>3</v>
      </c>
      <c r="Q20" s="164">
        <f t="shared" si="25"/>
        <v>3</v>
      </c>
      <c r="R20" s="104" t="str">
        <f t="shared" si="2"/>
        <v/>
      </c>
      <c r="S20" s="104" t="str">
        <f t="shared" si="3"/>
        <v/>
      </c>
      <c r="T20" s="104">
        <f t="shared" si="4"/>
        <v>1</v>
      </c>
      <c r="U20" s="104" t="str">
        <f t="shared" si="5"/>
        <v/>
      </c>
      <c r="V20" s="104" t="str">
        <f t="shared" si="6"/>
        <v/>
      </c>
      <c r="W20" s="104" t="str">
        <f t="shared" si="7"/>
        <v/>
      </c>
      <c r="X20" s="104">
        <f t="shared" si="8"/>
        <v>1</v>
      </c>
      <c r="Y20" s="165" t="b">
        <f t="shared" si="9"/>
        <v>0</v>
      </c>
      <c r="Z20" s="165" t="b">
        <f t="shared" si="10"/>
        <v>0</v>
      </c>
      <c r="AA20" s="165">
        <f t="shared" si="11"/>
        <v>1</v>
      </c>
      <c r="AB20" s="165" t="b">
        <f t="shared" si="12"/>
        <v>0</v>
      </c>
      <c r="AC20" s="165" t="b">
        <f t="shared" si="13"/>
        <v>0</v>
      </c>
      <c r="AD20" s="165" t="b">
        <f t="shared" si="26"/>
        <v>0</v>
      </c>
      <c r="AE20" s="165" t="b">
        <f t="shared" si="14"/>
        <v>0</v>
      </c>
      <c r="AF20" s="165" t="b">
        <f t="shared" si="15"/>
        <v>0</v>
      </c>
      <c r="AG20" s="165" t="b">
        <f t="shared" si="16"/>
        <v>0</v>
      </c>
      <c r="AH20" s="165" t="b">
        <f t="shared" si="17"/>
        <v>0</v>
      </c>
      <c r="AI20" s="170">
        <f t="shared" si="18"/>
        <v>1</v>
      </c>
      <c r="AJ20" s="171">
        <f t="shared" si="19"/>
        <v>1</v>
      </c>
      <c r="AK20" s="348" t="str">
        <f t="shared" si="27"/>
        <v/>
      </c>
      <c r="AL20" s="168" t="str">
        <f t="shared" si="28"/>
        <v/>
      </c>
      <c r="AM20" s="169">
        <f t="shared" si="29"/>
        <v>0</v>
      </c>
      <c r="AN20" s="150" t="str">
        <f t="shared" si="20"/>
        <v/>
      </c>
      <c r="AO20" s="151" t="str">
        <f t="shared" si="21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353" t="s">
        <v>171</v>
      </c>
      <c r="C21" s="200" t="s">
        <v>17</v>
      </c>
      <c r="D21" s="139"/>
      <c r="E21" s="139"/>
      <c r="F21" s="160"/>
      <c r="G21" s="205" t="s">
        <v>19</v>
      </c>
      <c r="H21" s="204" t="s">
        <v>17</v>
      </c>
      <c r="I21" s="204" t="s">
        <v>17</v>
      </c>
      <c r="J21" s="172"/>
      <c r="K21" s="157"/>
      <c r="L21" s="203" t="s">
        <v>16</v>
      </c>
      <c r="M21" s="163">
        <f t="shared" si="23"/>
        <v>3</v>
      </c>
      <c r="N21" s="164">
        <f t="shared" si="24"/>
        <v>4</v>
      </c>
      <c r="O21" s="164">
        <f t="shared" si="0"/>
        <v>3</v>
      </c>
      <c r="P21" s="164">
        <f t="shared" si="1"/>
        <v>3</v>
      </c>
      <c r="Q21" s="164">
        <f t="shared" si="25"/>
        <v>10</v>
      </c>
      <c r="R21" s="104" t="str">
        <f t="shared" si="2"/>
        <v/>
      </c>
      <c r="S21" s="104">
        <f t="shared" si="3"/>
        <v>1</v>
      </c>
      <c r="T21" s="104">
        <f t="shared" si="4"/>
        <v>1</v>
      </c>
      <c r="U21" s="104" t="str">
        <f t="shared" si="5"/>
        <v/>
      </c>
      <c r="V21" s="104" t="str">
        <f t="shared" si="6"/>
        <v/>
      </c>
      <c r="W21" s="104">
        <f t="shared" si="7"/>
        <v>1</v>
      </c>
      <c r="X21" s="104">
        <f t="shared" si="8"/>
        <v>3</v>
      </c>
      <c r="Y21" s="165" t="b">
        <f t="shared" si="9"/>
        <v>0</v>
      </c>
      <c r="Z21" s="165" t="b">
        <f t="shared" si="10"/>
        <v>0</v>
      </c>
      <c r="AA21" s="165">
        <f t="shared" si="11"/>
        <v>0.75</v>
      </c>
      <c r="AB21" s="165" t="b">
        <f t="shared" si="12"/>
        <v>0</v>
      </c>
      <c r="AC21" s="165" t="b">
        <f t="shared" si="13"/>
        <v>0</v>
      </c>
      <c r="AD21" s="165" t="b">
        <f t="shared" si="26"/>
        <v>0</v>
      </c>
      <c r="AE21" s="165" t="b">
        <f t="shared" si="14"/>
        <v>0</v>
      </c>
      <c r="AF21" s="165" t="b">
        <f t="shared" si="15"/>
        <v>0</v>
      </c>
      <c r="AG21" s="165" t="b">
        <f t="shared" si="16"/>
        <v>0</v>
      </c>
      <c r="AH21" s="165" t="b">
        <f t="shared" si="17"/>
        <v>0</v>
      </c>
      <c r="AI21" s="170">
        <f t="shared" si="18"/>
        <v>4</v>
      </c>
      <c r="AJ21" s="171">
        <f t="shared" si="19"/>
        <v>0.75</v>
      </c>
      <c r="AK21" s="348" t="str">
        <f t="shared" si="27"/>
        <v>Kader/TL</v>
      </c>
      <c r="AL21" s="168">
        <f t="shared" si="28"/>
        <v>6</v>
      </c>
      <c r="AM21" s="169">
        <f t="shared" si="29"/>
        <v>0</v>
      </c>
      <c r="AN21" s="150" t="str">
        <f t="shared" si="20"/>
        <v/>
      </c>
      <c r="AO21" s="151" t="str">
        <f t="shared" si="21"/>
        <v/>
      </c>
      <c r="AP21" s="139"/>
      <c r="AQ21" s="168" t="str">
        <f t="shared" si="30"/>
        <v/>
      </c>
      <c r="AR21" s="351" t="str">
        <f t="shared" si="31"/>
        <v>1F</v>
      </c>
      <c r="AS21" s="351" t="str">
        <f t="shared" si="32"/>
        <v>1F</v>
      </c>
      <c r="AT21" s="351" t="str">
        <f t="shared" si="33"/>
        <v>1S</v>
      </c>
      <c r="AU21" s="350"/>
      <c r="AV21" s="351"/>
      <c r="AW21" s="351"/>
      <c r="AX21" s="350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353" t="s">
        <v>172</v>
      </c>
      <c r="C22" s="200" t="s">
        <v>17</v>
      </c>
      <c r="D22" s="139"/>
      <c r="E22" s="139"/>
      <c r="F22" s="160"/>
      <c r="G22" s="205" t="s">
        <v>17</v>
      </c>
      <c r="H22" s="204" t="s">
        <v>17</v>
      </c>
      <c r="I22" s="204" t="s">
        <v>17</v>
      </c>
      <c r="J22" s="172"/>
      <c r="K22" s="157"/>
      <c r="L22" s="203" t="s">
        <v>17</v>
      </c>
      <c r="M22" s="163">
        <f t="shared" si="23"/>
        <v>3</v>
      </c>
      <c r="N22" s="164">
        <f t="shared" si="24"/>
        <v>3</v>
      </c>
      <c r="O22" s="164">
        <f t="shared" si="0"/>
        <v>3</v>
      </c>
      <c r="P22" s="164">
        <f t="shared" si="1"/>
        <v>3</v>
      </c>
      <c r="Q22" s="164">
        <f t="shared" si="25"/>
        <v>9</v>
      </c>
      <c r="R22" s="104">
        <f t="shared" si="2"/>
        <v>1</v>
      </c>
      <c r="S22" s="104">
        <f t="shared" si="3"/>
        <v>1</v>
      </c>
      <c r="T22" s="104">
        <f t="shared" si="4"/>
        <v>1</v>
      </c>
      <c r="U22" s="104" t="str">
        <f t="shared" si="5"/>
        <v/>
      </c>
      <c r="V22" s="104" t="str">
        <f t="shared" si="6"/>
        <v/>
      </c>
      <c r="W22" s="104">
        <f t="shared" si="7"/>
        <v>1</v>
      </c>
      <c r="X22" s="104">
        <f t="shared" si="8"/>
        <v>4</v>
      </c>
      <c r="Y22" s="165" t="b">
        <f t="shared" si="9"/>
        <v>0</v>
      </c>
      <c r="Z22" s="165" t="b">
        <f t="shared" si="10"/>
        <v>0</v>
      </c>
      <c r="AA22" s="165">
        <f t="shared" si="11"/>
        <v>1</v>
      </c>
      <c r="AB22" s="165" t="b">
        <f t="shared" si="12"/>
        <v>0</v>
      </c>
      <c r="AC22" s="165" t="b">
        <f t="shared" si="13"/>
        <v>0</v>
      </c>
      <c r="AD22" s="165" t="b">
        <f t="shared" si="26"/>
        <v>0</v>
      </c>
      <c r="AE22" s="165" t="b">
        <f t="shared" si="14"/>
        <v>0</v>
      </c>
      <c r="AF22" s="165" t="b">
        <f t="shared" si="15"/>
        <v>0</v>
      </c>
      <c r="AG22" s="165" t="b">
        <f t="shared" si="16"/>
        <v>0</v>
      </c>
      <c r="AH22" s="165" t="b">
        <f t="shared" si="17"/>
        <v>0</v>
      </c>
      <c r="AI22" s="170">
        <f t="shared" si="18"/>
        <v>4</v>
      </c>
      <c r="AJ22" s="171">
        <f t="shared" si="19"/>
        <v>1</v>
      </c>
      <c r="AK22" s="348" t="str">
        <f t="shared" si="27"/>
        <v>Kader</v>
      </c>
      <c r="AL22" s="168">
        <f t="shared" si="28"/>
        <v>5</v>
      </c>
      <c r="AM22" s="169">
        <f t="shared" si="29"/>
        <v>0</v>
      </c>
      <c r="AN22" s="150" t="str">
        <f t="shared" si="20"/>
        <v/>
      </c>
      <c r="AO22" s="151" t="str">
        <f t="shared" si="21"/>
        <v/>
      </c>
      <c r="AP22" s="139"/>
      <c r="AQ22" s="168" t="str">
        <f t="shared" si="30"/>
        <v/>
      </c>
      <c r="AR22" s="351" t="str">
        <f t="shared" si="31"/>
        <v>1F</v>
      </c>
      <c r="AS22" s="351" t="str">
        <f t="shared" si="32"/>
        <v>1F</v>
      </c>
      <c r="AT22" s="351" t="str">
        <f t="shared" si="33"/>
        <v>1F</v>
      </c>
      <c r="AU22" s="350"/>
      <c r="AV22" s="351"/>
      <c r="AW22" s="351"/>
      <c r="AX22" s="350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353" t="s">
        <v>173</v>
      </c>
      <c r="C23" s="200" t="s">
        <v>17</v>
      </c>
      <c r="D23" s="139"/>
      <c r="E23" s="139"/>
      <c r="F23" s="160"/>
      <c r="G23" s="205" t="s">
        <v>17</v>
      </c>
      <c r="H23" s="204" t="s">
        <v>17</v>
      </c>
      <c r="I23" s="204" t="s">
        <v>16</v>
      </c>
      <c r="J23" s="172"/>
      <c r="K23" s="157"/>
      <c r="L23" s="203" t="s">
        <v>17</v>
      </c>
      <c r="M23" s="163">
        <f t="shared" si="23"/>
        <v>3</v>
      </c>
      <c r="N23" s="164">
        <f t="shared" si="24"/>
        <v>3</v>
      </c>
      <c r="O23" s="164">
        <f t="shared" si="0"/>
        <v>3</v>
      </c>
      <c r="P23" s="164">
        <f t="shared" si="1"/>
        <v>4</v>
      </c>
      <c r="Q23" s="164">
        <f t="shared" si="25"/>
        <v>10</v>
      </c>
      <c r="R23" s="104">
        <f t="shared" si="2"/>
        <v>1</v>
      </c>
      <c r="S23" s="104">
        <f t="shared" si="3"/>
        <v>1</v>
      </c>
      <c r="T23" s="104">
        <f t="shared" si="4"/>
        <v>1</v>
      </c>
      <c r="U23" s="104" t="str">
        <f t="shared" si="5"/>
        <v/>
      </c>
      <c r="V23" s="104" t="str">
        <f t="shared" si="6"/>
        <v/>
      </c>
      <c r="W23" s="104">
        <f t="shared" si="7"/>
        <v>1</v>
      </c>
      <c r="X23" s="104">
        <f t="shared" si="8"/>
        <v>4</v>
      </c>
      <c r="Y23" s="165" t="b">
        <f t="shared" si="9"/>
        <v>0</v>
      </c>
      <c r="Z23" s="165" t="b">
        <f t="shared" si="10"/>
        <v>0</v>
      </c>
      <c r="AA23" s="165">
        <f t="shared" si="11"/>
        <v>1</v>
      </c>
      <c r="AB23" s="165" t="b">
        <f t="shared" si="12"/>
        <v>0</v>
      </c>
      <c r="AC23" s="165" t="b">
        <f t="shared" si="13"/>
        <v>0</v>
      </c>
      <c r="AD23" s="165" t="b">
        <f t="shared" si="26"/>
        <v>0</v>
      </c>
      <c r="AE23" s="165" t="b">
        <f t="shared" si="14"/>
        <v>0</v>
      </c>
      <c r="AF23" s="165" t="b">
        <f t="shared" si="15"/>
        <v>0</v>
      </c>
      <c r="AG23" s="165" t="b">
        <f t="shared" si="16"/>
        <v>0</v>
      </c>
      <c r="AH23" s="165" t="b">
        <f t="shared" si="17"/>
        <v>0</v>
      </c>
      <c r="AI23" s="170">
        <f t="shared" si="18"/>
        <v>4</v>
      </c>
      <c r="AJ23" s="171">
        <f t="shared" si="19"/>
        <v>1</v>
      </c>
      <c r="AK23" s="348" t="str">
        <f t="shared" si="27"/>
        <v>Kader/TL</v>
      </c>
      <c r="AL23" s="168">
        <f t="shared" si="28"/>
        <v>6</v>
      </c>
      <c r="AM23" s="169">
        <f t="shared" si="29"/>
        <v>0</v>
      </c>
      <c r="AN23" s="150" t="str">
        <f t="shared" si="20"/>
        <v/>
      </c>
      <c r="AO23" s="151" t="str">
        <f t="shared" si="21"/>
        <v/>
      </c>
      <c r="AP23" s="139"/>
      <c r="AQ23" s="168" t="str">
        <f t="shared" si="30"/>
        <v/>
      </c>
      <c r="AR23" s="351" t="str">
        <f t="shared" si="31"/>
        <v>1F</v>
      </c>
      <c r="AS23" s="351" t="str">
        <f t="shared" si="32"/>
        <v>2F</v>
      </c>
      <c r="AT23" s="351" t="str">
        <f t="shared" si="33"/>
        <v>1F</v>
      </c>
      <c r="AU23" s="350"/>
      <c r="AV23" s="351"/>
      <c r="AW23" s="351"/>
      <c r="AX23" s="350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353" t="s">
        <v>174</v>
      </c>
      <c r="C24" s="200" t="s">
        <v>16</v>
      </c>
      <c r="D24" s="138"/>
      <c r="E24" s="138"/>
      <c r="F24" s="160"/>
      <c r="G24" s="205" t="s">
        <v>15</v>
      </c>
      <c r="H24" s="204" t="s">
        <v>16</v>
      </c>
      <c r="I24" s="204" t="s">
        <v>16</v>
      </c>
      <c r="J24" s="172"/>
      <c r="K24" s="157"/>
      <c r="L24" s="203" t="s">
        <v>16</v>
      </c>
      <c r="M24" s="163">
        <f t="shared" si="23"/>
        <v>3</v>
      </c>
      <c r="N24" s="164">
        <f t="shared" si="24"/>
        <v>4</v>
      </c>
      <c r="O24" s="164">
        <f t="shared" si="0"/>
        <v>4</v>
      </c>
      <c r="P24" s="164">
        <f t="shared" si="1"/>
        <v>4</v>
      </c>
      <c r="Q24" s="164">
        <f t="shared" si="25"/>
        <v>12</v>
      </c>
      <c r="R24" s="104">
        <f t="shared" si="2"/>
        <v>1</v>
      </c>
      <c r="S24" s="104">
        <f t="shared" si="3"/>
        <v>1</v>
      </c>
      <c r="T24" s="104">
        <f t="shared" si="4"/>
        <v>1</v>
      </c>
      <c r="U24" s="104" t="str">
        <f t="shared" si="5"/>
        <v/>
      </c>
      <c r="V24" s="104" t="str">
        <f t="shared" si="6"/>
        <v/>
      </c>
      <c r="W24" s="104">
        <f t="shared" si="7"/>
        <v>1</v>
      </c>
      <c r="X24" s="104">
        <f t="shared" si="8"/>
        <v>4</v>
      </c>
      <c r="Y24" s="165" t="b">
        <f t="shared" si="9"/>
        <v>0</v>
      </c>
      <c r="Z24" s="165">
        <f t="shared" si="10"/>
        <v>1</v>
      </c>
      <c r="AA24" s="165" t="b">
        <f t="shared" si="11"/>
        <v>0</v>
      </c>
      <c r="AB24" s="165" t="b">
        <f t="shared" si="12"/>
        <v>0</v>
      </c>
      <c r="AC24" s="165" t="b">
        <f t="shared" si="13"/>
        <v>0</v>
      </c>
      <c r="AD24" s="165" t="b">
        <f t="shared" si="26"/>
        <v>0</v>
      </c>
      <c r="AE24" s="165" t="b">
        <f t="shared" si="14"/>
        <v>0</v>
      </c>
      <c r="AF24" s="165" t="b">
        <f t="shared" si="15"/>
        <v>0</v>
      </c>
      <c r="AG24" s="165" t="b">
        <f t="shared" si="16"/>
        <v>0</v>
      </c>
      <c r="AH24" s="165" t="b">
        <f t="shared" si="17"/>
        <v>0</v>
      </c>
      <c r="AI24" s="170">
        <f t="shared" si="18"/>
        <v>4</v>
      </c>
      <c r="AJ24" s="171">
        <f t="shared" si="19"/>
        <v>1</v>
      </c>
      <c r="AK24" s="348" t="str">
        <f t="shared" si="27"/>
        <v>TL/Havo</v>
      </c>
      <c r="AL24" s="168">
        <f t="shared" si="28"/>
        <v>8</v>
      </c>
      <c r="AM24" s="169">
        <f t="shared" si="29"/>
        <v>0</v>
      </c>
      <c r="AN24" s="150" t="str">
        <f t="shared" si="20"/>
        <v/>
      </c>
      <c r="AO24" s="151" t="str">
        <f t="shared" si="21"/>
        <v/>
      </c>
      <c r="AP24" s="139"/>
      <c r="AQ24" s="168" t="str">
        <f t="shared" si="30"/>
        <v/>
      </c>
      <c r="AR24" s="351" t="str">
        <f t="shared" si="31"/>
        <v>2F</v>
      </c>
      <c r="AS24" s="351" t="str">
        <f t="shared" si="32"/>
        <v>2F</v>
      </c>
      <c r="AT24" s="351" t="str">
        <f t="shared" si="33"/>
        <v>1S</v>
      </c>
      <c r="AU24" s="350"/>
      <c r="AV24" s="351"/>
      <c r="AW24" s="351"/>
      <c r="AX24" s="350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353" t="s">
        <v>175</v>
      </c>
      <c r="C25" s="200" t="s">
        <v>16</v>
      </c>
      <c r="D25" s="139"/>
      <c r="E25" s="139"/>
      <c r="F25" s="160"/>
      <c r="G25" s="205" t="s">
        <v>16</v>
      </c>
      <c r="H25" s="204" t="s">
        <v>16</v>
      </c>
      <c r="I25" s="204" t="s">
        <v>16</v>
      </c>
      <c r="J25" s="172"/>
      <c r="K25" s="157"/>
      <c r="L25" s="203" t="s">
        <v>16</v>
      </c>
      <c r="M25" s="163">
        <f t="shared" si="23"/>
        <v>3</v>
      </c>
      <c r="N25" s="164">
        <f t="shared" si="24"/>
        <v>4</v>
      </c>
      <c r="O25" s="164">
        <f t="shared" si="0"/>
        <v>4</v>
      </c>
      <c r="P25" s="164">
        <f t="shared" si="1"/>
        <v>4</v>
      </c>
      <c r="Q25" s="164">
        <f t="shared" si="25"/>
        <v>12</v>
      </c>
      <c r="R25" s="104">
        <f t="shared" si="2"/>
        <v>1</v>
      </c>
      <c r="S25" s="104">
        <f t="shared" si="3"/>
        <v>1</v>
      </c>
      <c r="T25" s="104">
        <f t="shared" si="4"/>
        <v>1</v>
      </c>
      <c r="U25" s="104" t="str">
        <f t="shared" si="5"/>
        <v/>
      </c>
      <c r="V25" s="104" t="str">
        <f t="shared" si="6"/>
        <v/>
      </c>
      <c r="W25" s="104">
        <f t="shared" si="7"/>
        <v>1</v>
      </c>
      <c r="X25" s="104">
        <f t="shared" si="8"/>
        <v>4</v>
      </c>
      <c r="Y25" s="165" t="b">
        <f t="shared" si="9"/>
        <v>0</v>
      </c>
      <c r="Z25" s="165">
        <f t="shared" si="10"/>
        <v>1</v>
      </c>
      <c r="AA25" s="165" t="b">
        <f t="shared" si="11"/>
        <v>0</v>
      </c>
      <c r="AB25" s="165" t="b">
        <f t="shared" si="12"/>
        <v>0</v>
      </c>
      <c r="AC25" s="165" t="b">
        <f t="shared" si="13"/>
        <v>0</v>
      </c>
      <c r="AD25" s="165" t="b">
        <f t="shared" si="26"/>
        <v>0</v>
      </c>
      <c r="AE25" s="165" t="b">
        <f t="shared" si="14"/>
        <v>0</v>
      </c>
      <c r="AF25" s="165" t="b">
        <f t="shared" si="15"/>
        <v>0</v>
      </c>
      <c r="AG25" s="165" t="b">
        <f t="shared" si="16"/>
        <v>0</v>
      </c>
      <c r="AH25" s="165" t="b">
        <f t="shared" si="17"/>
        <v>0</v>
      </c>
      <c r="AI25" s="170">
        <f t="shared" si="18"/>
        <v>4</v>
      </c>
      <c r="AJ25" s="171">
        <f t="shared" si="19"/>
        <v>1</v>
      </c>
      <c r="AK25" s="348" t="str">
        <f t="shared" si="27"/>
        <v>TL/Havo</v>
      </c>
      <c r="AL25" s="168">
        <f t="shared" si="28"/>
        <v>8</v>
      </c>
      <c r="AM25" s="169">
        <f t="shared" si="29"/>
        <v>0</v>
      </c>
      <c r="AN25" s="150" t="str">
        <f t="shared" si="20"/>
        <v/>
      </c>
      <c r="AO25" s="151" t="str">
        <f t="shared" si="21"/>
        <v/>
      </c>
      <c r="AP25" s="139"/>
      <c r="AQ25" s="168" t="str">
        <f t="shared" si="30"/>
        <v/>
      </c>
      <c r="AR25" s="351" t="str">
        <f t="shared" si="31"/>
        <v>2F</v>
      </c>
      <c r="AS25" s="351" t="str">
        <f t="shared" si="32"/>
        <v>2F</v>
      </c>
      <c r="AT25" s="351" t="str">
        <f t="shared" si="33"/>
        <v>1S</v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353" t="s">
        <v>163</v>
      </c>
      <c r="C26" s="200" t="s">
        <v>16</v>
      </c>
      <c r="D26" s="139"/>
      <c r="E26" s="139"/>
      <c r="F26" s="160"/>
      <c r="G26" s="205" t="s">
        <v>17</v>
      </c>
      <c r="H26" s="204" t="s">
        <v>16</v>
      </c>
      <c r="I26" s="204" t="s">
        <v>16</v>
      </c>
      <c r="J26" s="172"/>
      <c r="K26" s="172"/>
      <c r="L26" s="203" t="s">
        <v>16</v>
      </c>
      <c r="M26" s="163">
        <f t="shared" si="23"/>
        <v>3</v>
      </c>
      <c r="N26" s="164">
        <f t="shared" si="24"/>
        <v>4</v>
      </c>
      <c r="O26" s="164">
        <f t="shared" si="0"/>
        <v>4</v>
      </c>
      <c r="P26" s="164">
        <f t="shared" si="1"/>
        <v>4</v>
      </c>
      <c r="Q26" s="164">
        <f t="shared" si="25"/>
        <v>12</v>
      </c>
      <c r="R26" s="104" t="str">
        <f t="shared" si="2"/>
        <v/>
      </c>
      <c r="S26" s="104">
        <f t="shared" si="3"/>
        <v>1</v>
      </c>
      <c r="T26" s="104">
        <f t="shared" si="4"/>
        <v>1</v>
      </c>
      <c r="U26" s="104" t="str">
        <f t="shared" si="5"/>
        <v/>
      </c>
      <c r="V26" s="104" t="str">
        <f t="shared" si="6"/>
        <v/>
      </c>
      <c r="W26" s="104">
        <f t="shared" si="7"/>
        <v>1</v>
      </c>
      <c r="X26" s="104">
        <f t="shared" si="8"/>
        <v>3</v>
      </c>
      <c r="Y26" s="165" t="b">
        <f t="shared" si="9"/>
        <v>0</v>
      </c>
      <c r="Z26" s="165">
        <f t="shared" si="10"/>
        <v>0.75</v>
      </c>
      <c r="AA26" s="165" t="b">
        <f t="shared" si="11"/>
        <v>0</v>
      </c>
      <c r="AB26" s="165" t="b">
        <f t="shared" si="12"/>
        <v>0</v>
      </c>
      <c r="AC26" s="165" t="b">
        <f t="shared" si="13"/>
        <v>0</v>
      </c>
      <c r="AD26" s="165" t="b">
        <f t="shared" si="26"/>
        <v>0</v>
      </c>
      <c r="AE26" s="165" t="b">
        <f t="shared" si="14"/>
        <v>0</v>
      </c>
      <c r="AF26" s="165" t="b">
        <f t="shared" si="15"/>
        <v>0</v>
      </c>
      <c r="AG26" s="165" t="b">
        <f t="shared" si="16"/>
        <v>0</v>
      </c>
      <c r="AH26" s="165" t="b">
        <f t="shared" si="17"/>
        <v>0</v>
      </c>
      <c r="AI26" s="170">
        <f t="shared" si="18"/>
        <v>4</v>
      </c>
      <c r="AJ26" s="171">
        <f t="shared" si="19"/>
        <v>0.75</v>
      </c>
      <c r="AK26" s="348" t="str">
        <f t="shared" si="27"/>
        <v>TL/Havo</v>
      </c>
      <c r="AL26" s="168">
        <f t="shared" si="28"/>
        <v>8</v>
      </c>
      <c r="AM26" s="169">
        <f t="shared" si="29"/>
        <v>0</v>
      </c>
      <c r="AN26" s="150" t="str">
        <f t="shared" si="20"/>
        <v/>
      </c>
      <c r="AO26" s="151" t="str">
        <f t="shared" si="21"/>
        <v/>
      </c>
      <c r="AP26" s="139"/>
      <c r="AQ26" s="168" t="str">
        <f t="shared" si="30"/>
        <v/>
      </c>
      <c r="AR26" s="351" t="str">
        <f t="shared" si="31"/>
        <v>2F</v>
      </c>
      <c r="AS26" s="351" t="str">
        <f t="shared" si="32"/>
        <v>2F</v>
      </c>
      <c r="AT26" s="351" t="str">
        <f t="shared" si="33"/>
        <v>1S</v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353" t="s">
        <v>164</v>
      </c>
      <c r="C27" s="200" t="s">
        <v>16</v>
      </c>
      <c r="D27" s="139"/>
      <c r="E27" s="139"/>
      <c r="F27" s="160"/>
      <c r="G27" s="205" t="s">
        <v>16</v>
      </c>
      <c r="H27" s="204" t="s">
        <v>16</v>
      </c>
      <c r="I27" s="204" t="s">
        <v>16</v>
      </c>
      <c r="J27" s="172"/>
      <c r="K27" s="157"/>
      <c r="L27" s="203" t="s">
        <v>16</v>
      </c>
      <c r="M27" s="163">
        <f t="shared" si="23"/>
        <v>3</v>
      </c>
      <c r="N27" s="164">
        <f t="shared" si="24"/>
        <v>4</v>
      </c>
      <c r="O27" s="164">
        <f t="shared" si="0"/>
        <v>4</v>
      </c>
      <c r="P27" s="164">
        <f t="shared" si="1"/>
        <v>4</v>
      </c>
      <c r="Q27" s="164">
        <f t="shared" si="25"/>
        <v>12</v>
      </c>
      <c r="R27" s="104">
        <f t="shared" si="2"/>
        <v>1</v>
      </c>
      <c r="S27" s="104">
        <f t="shared" si="3"/>
        <v>1</v>
      </c>
      <c r="T27" s="104">
        <f t="shared" si="4"/>
        <v>1</v>
      </c>
      <c r="U27" s="104" t="str">
        <f t="shared" si="5"/>
        <v/>
      </c>
      <c r="V27" s="104" t="str">
        <f t="shared" si="6"/>
        <v/>
      </c>
      <c r="W27" s="104">
        <f t="shared" si="7"/>
        <v>1</v>
      </c>
      <c r="X27" s="104">
        <f t="shared" si="8"/>
        <v>4</v>
      </c>
      <c r="Y27" s="165" t="b">
        <f t="shared" si="9"/>
        <v>0</v>
      </c>
      <c r="Z27" s="165">
        <f t="shared" si="10"/>
        <v>1</v>
      </c>
      <c r="AA27" s="165" t="b">
        <f t="shared" si="11"/>
        <v>0</v>
      </c>
      <c r="AB27" s="165" t="b">
        <f t="shared" si="12"/>
        <v>0</v>
      </c>
      <c r="AC27" s="165" t="b">
        <f t="shared" si="13"/>
        <v>0</v>
      </c>
      <c r="AD27" s="165" t="b">
        <f t="shared" si="26"/>
        <v>0</v>
      </c>
      <c r="AE27" s="165" t="b">
        <f t="shared" si="14"/>
        <v>0</v>
      </c>
      <c r="AF27" s="165" t="b">
        <f t="shared" si="15"/>
        <v>0</v>
      </c>
      <c r="AG27" s="165" t="b">
        <f t="shared" si="16"/>
        <v>0</v>
      </c>
      <c r="AH27" s="165" t="b">
        <f t="shared" si="17"/>
        <v>0</v>
      </c>
      <c r="AI27" s="170">
        <f t="shared" si="18"/>
        <v>4</v>
      </c>
      <c r="AJ27" s="171">
        <f t="shared" si="19"/>
        <v>1</v>
      </c>
      <c r="AK27" s="348" t="str">
        <f t="shared" si="27"/>
        <v>TL/Havo</v>
      </c>
      <c r="AL27" s="168">
        <f t="shared" si="28"/>
        <v>8</v>
      </c>
      <c r="AM27" s="169">
        <f t="shared" si="29"/>
        <v>0</v>
      </c>
      <c r="AN27" s="150" t="str">
        <f t="shared" si="20"/>
        <v/>
      </c>
      <c r="AO27" s="151" t="str">
        <f t="shared" si="21"/>
        <v/>
      </c>
      <c r="AP27" s="139"/>
      <c r="AQ27" s="168" t="str">
        <f t="shared" si="30"/>
        <v/>
      </c>
      <c r="AR27" s="351" t="str">
        <f t="shared" si="31"/>
        <v>2F</v>
      </c>
      <c r="AS27" s="351" t="str">
        <f t="shared" si="32"/>
        <v>2F</v>
      </c>
      <c r="AT27" s="351" t="str">
        <f t="shared" si="33"/>
        <v>1S</v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353" t="s">
        <v>165</v>
      </c>
      <c r="C28" s="200" t="s">
        <v>17</v>
      </c>
      <c r="D28" s="139"/>
      <c r="E28" s="139"/>
      <c r="F28" s="160"/>
      <c r="G28" s="205" t="s">
        <v>19</v>
      </c>
      <c r="H28" s="204" t="s">
        <v>17</v>
      </c>
      <c r="I28" s="204" t="s">
        <v>17</v>
      </c>
      <c r="J28" s="172"/>
      <c r="K28" s="172"/>
      <c r="L28" s="203" t="s">
        <v>16</v>
      </c>
      <c r="M28" s="163">
        <f t="shared" si="23"/>
        <v>3</v>
      </c>
      <c r="N28" s="164">
        <f t="shared" si="24"/>
        <v>4</v>
      </c>
      <c r="O28" s="164">
        <f t="shared" si="0"/>
        <v>3</v>
      </c>
      <c r="P28" s="164">
        <f t="shared" si="1"/>
        <v>3</v>
      </c>
      <c r="Q28" s="164">
        <f t="shared" si="25"/>
        <v>10</v>
      </c>
      <c r="R28" s="104" t="str">
        <f t="shared" si="2"/>
        <v/>
      </c>
      <c r="S28" s="104">
        <f t="shared" si="3"/>
        <v>1</v>
      </c>
      <c r="T28" s="104">
        <f t="shared" si="4"/>
        <v>1</v>
      </c>
      <c r="U28" s="104" t="str">
        <f t="shared" si="5"/>
        <v/>
      </c>
      <c r="V28" s="104" t="str">
        <f t="shared" si="6"/>
        <v/>
      </c>
      <c r="W28" s="104">
        <f t="shared" si="7"/>
        <v>1</v>
      </c>
      <c r="X28" s="104">
        <f t="shared" si="8"/>
        <v>3</v>
      </c>
      <c r="Y28" s="165" t="b">
        <f t="shared" si="9"/>
        <v>0</v>
      </c>
      <c r="Z28" s="165" t="b">
        <f t="shared" si="10"/>
        <v>0</v>
      </c>
      <c r="AA28" s="165">
        <f t="shared" si="11"/>
        <v>0.75</v>
      </c>
      <c r="AB28" s="165" t="b">
        <f t="shared" si="12"/>
        <v>0</v>
      </c>
      <c r="AC28" s="165" t="b">
        <f t="shared" si="13"/>
        <v>0</v>
      </c>
      <c r="AD28" s="165" t="b">
        <f t="shared" si="26"/>
        <v>0</v>
      </c>
      <c r="AE28" s="165" t="b">
        <f t="shared" si="14"/>
        <v>0</v>
      </c>
      <c r="AF28" s="165" t="b">
        <f t="shared" si="15"/>
        <v>0</v>
      </c>
      <c r="AG28" s="165" t="b">
        <f t="shared" si="16"/>
        <v>0</v>
      </c>
      <c r="AH28" s="165" t="b">
        <f t="shared" si="17"/>
        <v>0</v>
      </c>
      <c r="AI28" s="170">
        <f t="shared" si="18"/>
        <v>4</v>
      </c>
      <c r="AJ28" s="171">
        <f t="shared" si="19"/>
        <v>0.75</v>
      </c>
      <c r="AK28" s="348" t="str">
        <f t="shared" si="27"/>
        <v>Kader/TL</v>
      </c>
      <c r="AL28" s="168">
        <f t="shared" si="28"/>
        <v>6</v>
      </c>
      <c r="AM28" s="169">
        <f t="shared" si="29"/>
        <v>0</v>
      </c>
      <c r="AN28" s="150" t="str">
        <f t="shared" si="20"/>
        <v/>
      </c>
      <c r="AO28" s="151" t="str">
        <f t="shared" si="21"/>
        <v/>
      </c>
      <c r="AP28" s="139"/>
      <c r="AQ28" s="168" t="str">
        <f t="shared" si="30"/>
        <v/>
      </c>
      <c r="AR28" s="351" t="str">
        <f t="shared" si="31"/>
        <v>1F</v>
      </c>
      <c r="AS28" s="351" t="str">
        <f t="shared" si="32"/>
        <v>1F</v>
      </c>
      <c r="AT28" s="351" t="str">
        <f t="shared" si="33"/>
        <v>1S</v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353" t="s">
        <v>166</v>
      </c>
      <c r="C29" s="200" t="s">
        <v>17</v>
      </c>
      <c r="D29" s="139"/>
      <c r="E29" s="139"/>
      <c r="F29" s="160"/>
      <c r="G29" s="205" t="s">
        <v>16</v>
      </c>
      <c r="H29" s="204" t="s">
        <v>17</v>
      </c>
      <c r="I29" s="204" t="s">
        <v>16</v>
      </c>
      <c r="J29" s="172"/>
      <c r="K29" s="172"/>
      <c r="L29" s="203" t="s">
        <v>17</v>
      </c>
      <c r="M29" s="163">
        <f t="shared" si="23"/>
        <v>3</v>
      </c>
      <c r="N29" s="164">
        <f t="shared" si="24"/>
        <v>3</v>
      </c>
      <c r="O29" s="164">
        <f t="shared" si="0"/>
        <v>3</v>
      </c>
      <c r="P29" s="164">
        <f t="shared" si="1"/>
        <v>4</v>
      </c>
      <c r="Q29" s="164">
        <f t="shared" si="25"/>
        <v>10</v>
      </c>
      <c r="R29" s="104">
        <f t="shared" si="2"/>
        <v>1</v>
      </c>
      <c r="S29" s="104">
        <f t="shared" si="3"/>
        <v>1</v>
      </c>
      <c r="T29" s="104">
        <f t="shared" si="4"/>
        <v>1</v>
      </c>
      <c r="U29" s="104" t="str">
        <f t="shared" si="5"/>
        <v/>
      </c>
      <c r="V29" s="104" t="str">
        <f t="shared" si="6"/>
        <v/>
      </c>
      <c r="W29" s="104">
        <f t="shared" si="7"/>
        <v>1</v>
      </c>
      <c r="X29" s="104">
        <f t="shared" si="8"/>
        <v>4</v>
      </c>
      <c r="Y29" s="165" t="b">
        <f t="shared" si="9"/>
        <v>0</v>
      </c>
      <c r="Z29" s="165" t="b">
        <f t="shared" si="10"/>
        <v>0</v>
      </c>
      <c r="AA29" s="165">
        <f t="shared" si="11"/>
        <v>1</v>
      </c>
      <c r="AB29" s="165" t="b">
        <f t="shared" si="12"/>
        <v>0</v>
      </c>
      <c r="AC29" s="165" t="b">
        <f t="shared" si="13"/>
        <v>0</v>
      </c>
      <c r="AD29" s="165" t="b">
        <f t="shared" si="26"/>
        <v>0</v>
      </c>
      <c r="AE29" s="165" t="b">
        <f t="shared" si="14"/>
        <v>0</v>
      </c>
      <c r="AF29" s="165" t="b">
        <f t="shared" si="15"/>
        <v>0</v>
      </c>
      <c r="AG29" s="165" t="b">
        <f t="shared" si="16"/>
        <v>0</v>
      </c>
      <c r="AH29" s="165" t="b">
        <f t="shared" si="17"/>
        <v>0</v>
      </c>
      <c r="AI29" s="170">
        <f t="shared" si="18"/>
        <v>4</v>
      </c>
      <c r="AJ29" s="171">
        <f t="shared" si="19"/>
        <v>1</v>
      </c>
      <c r="AK29" s="348" t="str">
        <f t="shared" si="27"/>
        <v>Kader/TL</v>
      </c>
      <c r="AL29" s="168">
        <f t="shared" si="28"/>
        <v>6</v>
      </c>
      <c r="AM29" s="169">
        <f t="shared" si="29"/>
        <v>0</v>
      </c>
      <c r="AN29" s="150" t="str">
        <f t="shared" si="20"/>
        <v/>
      </c>
      <c r="AO29" s="151" t="str">
        <f t="shared" si="21"/>
        <v/>
      </c>
      <c r="AP29" s="139"/>
      <c r="AQ29" s="168" t="str">
        <f t="shared" si="30"/>
        <v/>
      </c>
      <c r="AR29" s="351" t="str">
        <f t="shared" si="31"/>
        <v>1F</v>
      </c>
      <c r="AS29" s="351" t="str">
        <f t="shared" si="32"/>
        <v>2F</v>
      </c>
      <c r="AT29" s="351" t="str">
        <f t="shared" si="33"/>
        <v>1F</v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353" t="s">
        <v>167</v>
      </c>
      <c r="C30" s="200" t="s">
        <v>16</v>
      </c>
      <c r="D30" s="139"/>
      <c r="E30" s="139"/>
      <c r="F30" s="160"/>
      <c r="G30" s="205" t="s">
        <v>15</v>
      </c>
      <c r="H30" s="204" t="s">
        <v>17</v>
      </c>
      <c r="I30" s="204" t="s">
        <v>16</v>
      </c>
      <c r="J30" s="172"/>
      <c r="K30" s="172"/>
      <c r="L30" s="203" t="s">
        <v>16</v>
      </c>
      <c r="M30" s="163">
        <f t="shared" si="23"/>
        <v>3</v>
      </c>
      <c r="N30" s="164">
        <f t="shared" si="24"/>
        <v>4</v>
      </c>
      <c r="O30" s="164">
        <f t="shared" si="0"/>
        <v>3</v>
      </c>
      <c r="P30" s="164">
        <f t="shared" si="1"/>
        <v>4</v>
      </c>
      <c r="Q30" s="164">
        <f t="shared" si="25"/>
        <v>11</v>
      </c>
      <c r="R30" s="104">
        <f t="shared" si="2"/>
        <v>1</v>
      </c>
      <c r="S30" s="104" t="str">
        <f t="shared" si="3"/>
        <v/>
      </c>
      <c r="T30" s="104">
        <f t="shared" si="4"/>
        <v>1</v>
      </c>
      <c r="U30" s="104" t="str">
        <f t="shared" si="5"/>
        <v/>
      </c>
      <c r="V30" s="104" t="str">
        <f t="shared" si="6"/>
        <v/>
      </c>
      <c r="W30" s="104">
        <f t="shared" si="7"/>
        <v>1</v>
      </c>
      <c r="X30" s="104">
        <f t="shared" si="8"/>
        <v>3</v>
      </c>
      <c r="Y30" s="165" t="b">
        <f t="shared" si="9"/>
        <v>0</v>
      </c>
      <c r="Z30" s="165">
        <f t="shared" si="10"/>
        <v>0.75</v>
      </c>
      <c r="AA30" s="165" t="b">
        <f t="shared" si="11"/>
        <v>0</v>
      </c>
      <c r="AB30" s="165" t="b">
        <f t="shared" si="12"/>
        <v>0</v>
      </c>
      <c r="AC30" s="165" t="b">
        <f t="shared" si="13"/>
        <v>0</v>
      </c>
      <c r="AD30" s="165" t="b">
        <f t="shared" si="26"/>
        <v>0</v>
      </c>
      <c r="AE30" s="165" t="b">
        <f t="shared" si="14"/>
        <v>0</v>
      </c>
      <c r="AF30" s="165" t="b">
        <f t="shared" si="15"/>
        <v>0</v>
      </c>
      <c r="AG30" s="165" t="b">
        <f t="shared" si="16"/>
        <v>0</v>
      </c>
      <c r="AH30" s="165" t="b">
        <f t="shared" si="17"/>
        <v>0</v>
      </c>
      <c r="AI30" s="170">
        <f t="shared" si="18"/>
        <v>4</v>
      </c>
      <c r="AJ30" s="171">
        <f t="shared" si="19"/>
        <v>0.75</v>
      </c>
      <c r="AK30" s="348" t="str">
        <f t="shared" si="27"/>
        <v>TL</v>
      </c>
      <c r="AL30" s="168">
        <f t="shared" si="28"/>
        <v>7</v>
      </c>
      <c r="AM30" s="169">
        <f t="shared" si="29"/>
        <v>0</v>
      </c>
      <c r="AN30" s="150" t="str">
        <f t="shared" si="20"/>
        <v/>
      </c>
      <c r="AO30" s="151" t="str">
        <f t="shared" si="21"/>
        <v/>
      </c>
      <c r="AP30" s="139"/>
      <c r="AQ30" s="168" t="str">
        <f t="shared" si="30"/>
        <v/>
      </c>
      <c r="AR30" s="351" t="str">
        <f t="shared" si="31"/>
        <v>1F</v>
      </c>
      <c r="AS30" s="351" t="str">
        <f t="shared" si="32"/>
        <v>2F</v>
      </c>
      <c r="AT30" s="351" t="str">
        <f t="shared" si="33"/>
        <v>1S</v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353" t="s">
        <v>168</v>
      </c>
      <c r="C31" s="200" t="s">
        <v>16</v>
      </c>
      <c r="D31" s="139"/>
      <c r="E31" s="139"/>
      <c r="F31" s="160"/>
      <c r="G31" s="205" t="s">
        <v>16</v>
      </c>
      <c r="H31" s="204" t="s">
        <v>17</v>
      </c>
      <c r="I31" s="204" t="s">
        <v>16</v>
      </c>
      <c r="J31" s="172"/>
      <c r="K31" s="172"/>
      <c r="L31" s="203" t="s">
        <v>16</v>
      </c>
      <c r="M31" s="163">
        <f t="shared" si="23"/>
        <v>3</v>
      </c>
      <c r="N31" s="164">
        <f t="shared" si="24"/>
        <v>4</v>
      </c>
      <c r="O31" s="164">
        <f t="shared" si="0"/>
        <v>3</v>
      </c>
      <c r="P31" s="164">
        <f t="shared" si="1"/>
        <v>4</v>
      </c>
      <c r="Q31" s="164">
        <f t="shared" si="25"/>
        <v>11</v>
      </c>
      <c r="R31" s="104">
        <f t="shared" si="2"/>
        <v>1</v>
      </c>
      <c r="S31" s="104" t="str">
        <f t="shared" si="3"/>
        <v/>
      </c>
      <c r="T31" s="104">
        <f t="shared" si="4"/>
        <v>1</v>
      </c>
      <c r="U31" s="104" t="str">
        <f t="shared" si="5"/>
        <v/>
      </c>
      <c r="V31" s="104" t="str">
        <f t="shared" si="6"/>
        <v/>
      </c>
      <c r="W31" s="104">
        <f t="shared" si="7"/>
        <v>1</v>
      </c>
      <c r="X31" s="104">
        <f t="shared" si="8"/>
        <v>3</v>
      </c>
      <c r="Y31" s="165" t="b">
        <f t="shared" si="9"/>
        <v>0</v>
      </c>
      <c r="Z31" s="165">
        <f t="shared" si="10"/>
        <v>0.75</v>
      </c>
      <c r="AA31" s="165" t="b">
        <f t="shared" si="11"/>
        <v>0</v>
      </c>
      <c r="AB31" s="165" t="b">
        <f t="shared" si="12"/>
        <v>0</v>
      </c>
      <c r="AC31" s="165" t="b">
        <f t="shared" si="13"/>
        <v>0</v>
      </c>
      <c r="AD31" s="165" t="b">
        <f t="shared" si="26"/>
        <v>0</v>
      </c>
      <c r="AE31" s="165" t="b">
        <f t="shared" si="14"/>
        <v>0</v>
      </c>
      <c r="AF31" s="165" t="b">
        <f t="shared" si="15"/>
        <v>0</v>
      </c>
      <c r="AG31" s="165" t="b">
        <f t="shared" si="16"/>
        <v>0</v>
      </c>
      <c r="AH31" s="165" t="b">
        <f t="shared" si="17"/>
        <v>0</v>
      </c>
      <c r="AI31" s="170">
        <f t="shared" si="18"/>
        <v>4</v>
      </c>
      <c r="AJ31" s="171">
        <f t="shared" si="19"/>
        <v>0.75</v>
      </c>
      <c r="AK31" s="348" t="str">
        <f t="shared" si="27"/>
        <v>TL</v>
      </c>
      <c r="AL31" s="168">
        <f t="shared" si="28"/>
        <v>7</v>
      </c>
      <c r="AM31" s="169">
        <f t="shared" si="29"/>
        <v>0</v>
      </c>
      <c r="AN31" s="150" t="str">
        <f t="shared" si="20"/>
        <v/>
      </c>
      <c r="AO31" s="151" t="str">
        <f t="shared" si="21"/>
        <v/>
      </c>
      <c r="AP31" s="139"/>
      <c r="AQ31" s="168" t="str">
        <f t="shared" si="30"/>
        <v/>
      </c>
      <c r="AR31" s="351" t="str">
        <f t="shared" si="31"/>
        <v>1F</v>
      </c>
      <c r="AS31" s="351" t="str">
        <f t="shared" si="32"/>
        <v>2F</v>
      </c>
      <c r="AT31" s="351" t="str">
        <f t="shared" si="33"/>
        <v>1S</v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353"/>
      <c r="C32" s="158"/>
      <c r="D32" s="139"/>
      <c r="E32" s="139"/>
      <c r="F32" s="160"/>
      <c r="G32" s="173"/>
      <c r="H32" s="172"/>
      <c r="I32" s="204"/>
      <c r="J32" s="172"/>
      <c r="K32" s="172"/>
      <c r="L32" s="174"/>
      <c r="M32" s="163">
        <f t="shared" si="23"/>
        <v>0</v>
      </c>
      <c r="N32" s="164" t="str">
        <f t="shared" si="24"/>
        <v/>
      </c>
      <c r="O32" s="164" t="str">
        <f t="shared" si="0"/>
        <v/>
      </c>
      <c r="P32" s="164" t="str">
        <f t="shared" si="1"/>
        <v/>
      </c>
      <c r="Q32" s="164">
        <f t="shared" si="25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5"/>
        <v/>
      </c>
      <c r="V32" s="104" t="str">
        <f t="shared" si="6"/>
        <v/>
      </c>
      <c r="W32" s="104" t="str">
        <f t="shared" si="7"/>
        <v/>
      </c>
      <c r="X32" s="104">
        <f t="shared" si="8"/>
        <v>0</v>
      </c>
      <c r="Y32" s="165" t="b">
        <f t="shared" si="9"/>
        <v>0</v>
      </c>
      <c r="Z32" s="165" t="b">
        <f t="shared" si="10"/>
        <v>0</v>
      </c>
      <c r="AA32" s="165" t="b">
        <f t="shared" si="11"/>
        <v>0</v>
      </c>
      <c r="AB32" s="165" t="b">
        <f t="shared" si="12"/>
        <v>0</v>
      </c>
      <c r="AC32" s="165" t="b">
        <f t="shared" si="13"/>
        <v>0</v>
      </c>
      <c r="AD32" s="165" t="b">
        <f t="shared" si="26"/>
        <v>0</v>
      </c>
      <c r="AE32" s="165" t="b">
        <f t="shared" si="14"/>
        <v>0</v>
      </c>
      <c r="AF32" s="165" t="b">
        <f t="shared" si="15"/>
        <v>0</v>
      </c>
      <c r="AG32" s="165" t="b">
        <f t="shared" si="16"/>
        <v>0</v>
      </c>
      <c r="AH32" s="165" t="b">
        <f t="shared" si="17"/>
        <v>0</v>
      </c>
      <c r="AI32" s="170" t="str">
        <f t="shared" si="18"/>
        <v/>
      </c>
      <c r="AJ32" s="171" t="str">
        <f t="shared" si="19"/>
        <v/>
      </c>
      <c r="AK32" s="348" t="str">
        <f t="shared" si="27"/>
        <v/>
      </c>
      <c r="AL32" s="168" t="str">
        <f t="shared" si="28"/>
        <v/>
      </c>
      <c r="AM32" s="169">
        <f t="shared" si="29"/>
        <v>0</v>
      </c>
      <c r="AN32" s="150" t="str">
        <f t="shared" si="20"/>
        <v/>
      </c>
      <c r="AO32" s="151" t="str">
        <f t="shared" si="21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23"/>
        <v>0</v>
      </c>
      <c r="N33" s="164" t="str">
        <f t="shared" si="24"/>
        <v/>
      </c>
      <c r="O33" s="164" t="str">
        <f t="shared" si="0"/>
        <v/>
      </c>
      <c r="P33" s="164" t="str">
        <f t="shared" si="1"/>
        <v/>
      </c>
      <c r="Q33" s="164">
        <f t="shared" si="25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5"/>
        <v/>
      </c>
      <c r="V33" s="104" t="str">
        <f t="shared" si="6"/>
        <v/>
      </c>
      <c r="W33" s="104" t="str">
        <f t="shared" si="7"/>
        <v/>
      </c>
      <c r="X33" s="104">
        <f t="shared" si="8"/>
        <v>0</v>
      </c>
      <c r="Y33" s="165" t="b">
        <f t="shared" si="9"/>
        <v>0</v>
      </c>
      <c r="Z33" s="165" t="b">
        <f t="shared" si="10"/>
        <v>0</v>
      </c>
      <c r="AA33" s="165" t="b">
        <f t="shared" si="11"/>
        <v>0</v>
      </c>
      <c r="AB33" s="165" t="b">
        <f t="shared" si="12"/>
        <v>0</v>
      </c>
      <c r="AC33" s="165" t="b">
        <f t="shared" si="13"/>
        <v>0</v>
      </c>
      <c r="AD33" s="165" t="b">
        <f t="shared" si="26"/>
        <v>0</v>
      </c>
      <c r="AE33" s="165" t="b">
        <f t="shared" si="14"/>
        <v>0</v>
      </c>
      <c r="AF33" s="165" t="b">
        <f t="shared" si="15"/>
        <v>0</v>
      </c>
      <c r="AG33" s="165" t="b">
        <f t="shared" si="16"/>
        <v>0</v>
      </c>
      <c r="AH33" s="165" t="b">
        <f t="shared" si="17"/>
        <v>0</v>
      </c>
      <c r="AI33" s="170" t="str">
        <f t="shared" si="18"/>
        <v/>
      </c>
      <c r="AJ33" s="171" t="str">
        <f t="shared" si="19"/>
        <v/>
      </c>
      <c r="AK33" s="348" t="str">
        <f t="shared" si="27"/>
        <v/>
      </c>
      <c r="AL33" s="168" t="str">
        <f t="shared" si="28"/>
        <v/>
      </c>
      <c r="AM33" s="169">
        <f t="shared" si="29"/>
        <v>0</v>
      </c>
      <c r="AN33" s="150" t="str">
        <f t="shared" si="20"/>
        <v/>
      </c>
      <c r="AO33" s="151" t="str">
        <f t="shared" si="21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23"/>
        <v>0</v>
      </c>
      <c r="N34" s="164" t="str">
        <f t="shared" si="24"/>
        <v/>
      </c>
      <c r="O34" s="164" t="str">
        <f t="shared" si="0"/>
        <v/>
      </c>
      <c r="P34" s="164" t="str">
        <f t="shared" si="1"/>
        <v/>
      </c>
      <c r="Q34" s="164">
        <f t="shared" si="25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5"/>
        <v/>
      </c>
      <c r="V34" s="104" t="str">
        <f t="shared" si="6"/>
        <v/>
      </c>
      <c r="W34" s="104" t="str">
        <f t="shared" si="7"/>
        <v/>
      </c>
      <c r="X34" s="104">
        <f t="shared" si="8"/>
        <v>0</v>
      </c>
      <c r="Y34" s="165" t="b">
        <f t="shared" si="9"/>
        <v>0</v>
      </c>
      <c r="Z34" s="165" t="b">
        <f t="shared" si="10"/>
        <v>0</v>
      </c>
      <c r="AA34" s="165" t="b">
        <f t="shared" si="11"/>
        <v>0</v>
      </c>
      <c r="AB34" s="165" t="b">
        <f t="shared" si="12"/>
        <v>0</v>
      </c>
      <c r="AC34" s="165" t="b">
        <f t="shared" si="13"/>
        <v>0</v>
      </c>
      <c r="AD34" s="165" t="b">
        <f t="shared" si="26"/>
        <v>0</v>
      </c>
      <c r="AE34" s="165" t="b">
        <f t="shared" si="14"/>
        <v>0</v>
      </c>
      <c r="AF34" s="165" t="b">
        <f t="shared" si="15"/>
        <v>0</v>
      </c>
      <c r="AG34" s="165" t="b">
        <f t="shared" si="16"/>
        <v>0</v>
      </c>
      <c r="AH34" s="165" t="b">
        <f t="shared" si="17"/>
        <v>0</v>
      </c>
      <c r="AI34" s="170" t="str">
        <f t="shared" si="18"/>
        <v/>
      </c>
      <c r="AJ34" s="171" t="str">
        <f t="shared" si="19"/>
        <v/>
      </c>
      <c r="AK34" s="348" t="str">
        <f t="shared" si="27"/>
        <v/>
      </c>
      <c r="AL34" s="168" t="str">
        <f t="shared" si="28"/>
        <v/>
      </c>
      <c r="AM34" s="169">
        <f t="shared" si="29"/>
        <v>0</v>
      </c>
      <c r="AN34" s="150" t="str">
        <f t="shared" si="20"/>
        <v/>
      </c>
      <c r="AO34" s="151" t="str">
        <f t="shared" si="21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353"/>
      <c r="C35" s="158"/>
      <c r="D35" s="139"/>
      <c r="E35" s="139"/>
      <c r="F35" s="160"/>
      <c r="G35" s="173"/>
      <c r="H35" s="172"/>
      <c r="I35" s="172"/>
      <c r="J35" s="172"/>
      <c r="K35" s="172"/>
      <c r="L35" s="203"/>
      <c r="M35" s="163">
        <f t="shared" si="23"/>
        <v>0</v>
      </c>
      <c r="N35" s="164" t="str">
        <f t="shared" si="24"/>
        <v/>
      </c>
      <c r="O35" s="164" t="str">
        <f t="shared" si="0"/>
        <v/>
      </c>
      <c r="P35" s="164" t="str">
        <f t="shared" si="1"/>
        <v/>
      </c>
      <c r="Q35" s="164">
        <f t="shared" si="25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5"/>
        <v/>
      </c>
      <c r="V35" s="104" t="str">
        <f t="shared" si="6"/>
        <v/>
      </c>
      <c r="W35" s="104" t="str">
        <f t="shared" si="7"/>
        <v/>
      </c>
      <c r="X35" s="104">
        <f t="shared" si="8"/>
        <v>0</v>
      </c>
      <c r="Y35" s="165" t="b">
        <f t="shared" si="9"/>
        <v>0</v>
      </c>
      <c r="Z35" s="165" t="b">
        <f t="shared" si="10"/>
        <v>0</v>
      </c>
      <c r="AA35" s="165" t="b">
        <f t="shared" si="11"/>
        <v>0</v>
      </c>
      <c r="AB35" s="165" t="b">
        <f t="shared" si="12"/>
        <v>0</v>
      </c>
      <c r="AC35" s="165" t="b">
        <f t="shared" si="13"/>
        <v>0</v>
      </c>
      <c r="AD35" s="165" t="b">
        <f t="shared" si="26"/>
        <v>0</v>
      </c>
      <c r="AE35" s="165" t="b">
        <f t="shared" si="14"/>
        <v>0</v>
      </c>
      <c r="AF35" s="165" t="b">
        <f t="shared" si="15"/>
        <v>0</v>
      </c>
      <c r="AG35" s="165" t="b">
        <f t="shared" si="16"/>
        <v>0</v>
      </c>
      <c r="AH35" s="165" t="b">
        <f t="shared" si="17"/>
        <v>0</v>
      </c>
      <c r="AI35" s="170" t="str">
        <f t="shared" si="18"/>
        <v/>
      </c>
      <c r="AJ35" s="171" t="str">
        <f t="shared" si="19"/>
        <v/>
      </c>
      <c r="AK35" s="348" t="str">
        <f t="shared" si="27"/>
        <v/>
      </c>
      <c r="AL35" s="168" t="str">
        <f t="shared" si="28"/>
        <v/>
      </c>
      <c r="AM35" s="169">
        <f t="shared" si="29"/>
        <v>0</v>
      </c>
      <c r="AN35" s="150" t="str">
        <f t="shared" si="20"/>
        <v/>
      </c>
      <c r="AO35" s="151" t="str">
        <f t="shared" si="21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23"/>
        <v>0</v>
      </c>
      <c r="N36" s="164" t="str">
        <f t="shared" si="24"/>
        <v/>
      </c>
      <c r="O36" s="164" t="str">
        <f t="shared" si="0"/>
        <v/>
      </c>
      <c r="P36" s="164" t="str">
        <f t="shared" si="1"/>
        <v/>
      </c>
      <c r="Q36" s="164">
        <f t="shared" si="25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5"/>
        <v/>
      </c>
      <c r="V36" s="104" t="str">
        <f t="shared" si="6"/>
        <v/>
      </c>
      <c r="W36" s="104" t="str">
        <f t="shared" si="7"/>
        <v/>
      </c>
      <c r="X36" s="104">
        <f t="shared" si="8"/>
        <v>0</v>
      </c>
      <c r="Y36" s="165" t="b">
        <f t="shared" si="9"/>
        <v>0</v>
      </c>
      <c r="Z36" s="165" t="b">
        <f t="shared" si="10"/>
        <v>0</v>
      </c>
      <c r="AA36" s="165" t="b">
        <f t="shared" si="11"/>
        <v>0</v>
      </c>
      <c r="AB36" s="165" t="b">
        <f t="shared" si="12"/>
        <v>0</v>
      </c>
      <c r="AC36" s="165" t="b">
        <f t="shared" si="13"/>
        <v>0</v>
      </c>
      <c r="AD36" s="165" t="b">
        <f t="shared" si="26"/>
        <v>0</v>
      </c>
      <c r="AE36" s="165" t="b">
        <f t="shared" si="14"/>
        <v>0</v>
      </c>
      <c r="AF36" s="165" t="b">
        <f t="shared" si="15"/>
        <v>0</v>
      </c>
      <c r="AG36" s="165" t="b">
        <f t="shared" si="16"/>
        <v>0</v>
      </c>
      <c r="AH36" s="165" t="b">
        <f t="shared" si="17"/>
        <v>0</v>
      </c>
      <c r="AI36" s="170" t="str">
        <f t="shared" si="18"/>
        <v/>
      </c>
      <c r="AJ36" s="171" t="str">
        <f t="shared" si="19"/>
        <v/>
      </c>
      <c r="AK36" s="348" t="str">
        <f t="shared" si="27"/>
        <v/>
      </c>
      <c r="AL36" s="168" t="str">
        <f t="shared" si="28"/>
        <v/>
      </c>
      <c r="AM36" s="169">
        <f t="shared" si="29"/>
        <v>0</v>
      </c>
      <c r="AN36" s="150" t="str">
        <f t="shared" si="20"/>
        <v/>
      </c>
      <c r="AO36" s="151" t="str">
        <f t="shared" si="21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23"/>
        <v>0</v>
      </c>
      <c r="N37" s="164" t="str">
        <f t="shared" si="24"/>
        <v/>
      </c>
      <c r="O37" s="164" t="str">
        <f t="shared" si="0"/>
        <v/>
      </c>
      <c r="P37" s="164" t="str">
        <f t="shared" si="1"/>
        <v/>
      </c>
      <c r="Q37" s="164">
        <f t="shared" si="25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5"/>
        <v/>
      </c>
      <c r="V37" s="104" t="str">
        <f t="shared" si="6"/>
        <v/>
      </c>
      <c r="W37" s="104" t="str">
        <f t="shared" si="7"/>
        <v/>
      </c>
      <c r="X37" s="104">
        <f t="shared" si="8"/>
        <v>0</v>
      </c>
      <c r="Y37" s="165" t="b">
        <f t="shared" si="9"/>
        <v>0</v>
      </c>
      <c r="Z37" s="165" t="b">
        <f t="shared" si="10"/>
        <v>0</v>
      </c>
      <c r="AA37" s="165" t="b">
        <f t="shared" si="11"/>
        <v>0</v>
      </c>
      <c r="AB37" s="165" t="b">
        <f t="shared" si="12"/>
        <v>0</v>
      </c>
      <c r="AC37" s="165" t="b">
        <f t="shared" si="13"/>
        <v>0</v>
      </c>
      <c r="AD37" s="165" t="b">
        <f t="shared" si="26"/>
        <v>0</v>
      </c>
      <c r="AE37" s="165" t="b">
        <f t="shared" si="14"/>
        <v>0</v>
      </c>
      <c r="AF37" s="165" t="b">
        <f t="shared" si="15"/>
        <v>0</v>
      </c>
      <c r="AG37" s="165" t="b">
        <f t="shared" si="16"/>
        <v>0</v>
      </c>
      <c r="AH37" s="165" t="b">
        <f t="shared" si="17"/>
        <v>0</v>
      </c>
      <c r="AI37" s="170" t="str">
        <f t="shared" si="18"/>
        <v/>
      </c>
      <c r="AJ37" s="171" t="str">
        <f t="shared" si="19"/>
        <v/>
      </c>
      <c r="AK37" s="348" t="str">
        <f t="shared" si="27"/>
        <v/>
      </c>
      <c r="AL37" s="168" t="str">
        <f t="shared" si="28"/>
        <v/>
      </c>
      <c r="AM37" s="169">
        <f t="shared" si="29"/>
        <v>0</v>
      </c>
      <c r="AN37" s="150" t="str">
        <f t="shared" si="20"/>
        <v/>
      </c>
      <c r="AO37" s="151" t="str">
        <f t="shared" si="21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23"/>
        <v>0</v>
      </c>
      <c r="N38" s="164" t="str">
        <f t="shared" si="24"/>
        <v/>
      </c>
      <c r="O38" s="164" t="str">
        <f t="shared" si="0"/>
        <v/>
      </c>
      <c r="P38" s="164" t="str">
        <f t="shared" si="1"/>
        <v/>
      </c>
      <c r="Q38" s="164">
        <f t="shared" si="25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5"/>
        <v/>
      </c>
      <c r="V38" s="104" t="str">
        <f t="shared" si="6"/>
        <v/>
      </c>
      <c r="W38" s="104" t="str">
        <f t="shared" si="7"/>
        <v/>
      </c>
      <c r="X38" s="104">
        <f t="shared" si="8"/>
        <v>0</v>
      </c>
      <c r="Y38" s="165" t="b">
        <f t="shared" si="9"/>
        <v>0</v>
      </c>
      <c r="Z38" s="165" t="b">
        <f t="shared" si="10"/>
        <v>0</v>
      </c>
      <c r="AA38" s="165" t="b">
        <f t="shared" si="11"/>
        <v>0</v>
      </c>
      <c r="AB38" s="165" t="b">
        <f t="shared" si="12"/>
        <v>0</v>
      </c>
      <c r="AC38" s="165" t="b">
        <f t="shared" si="13"/>
        <v>0</v>
      </c>
      <c r="AD38" s="165" t="b">
        <f t="shared" si="26"/>
        <v>0</v>
      </c>
      <c r="AE38" s="165" t="b">
        <f t="shared" si="14"/>
        <v>0</v>
      </c>
      <c r="AF38" s="165" t="b">
        <f t="shared" si="15"/>
        <v>0</v>
      </c>
      <c r="AG38" s="165" t="b">
        <f t="shared" si="16"/>
        <v>0</v>
      </c>
      <c r="AH38" s="165" t="b">
        <f t="shared" si="17"/>
        <v>0</v>
      </c>
      <c r="AI38" s="170" t="str">
        <f t="shared" si="18"/>
        <v/>
      </c>
      <c r="AJ38" s="171" t="str">
        <f t="shared" si="19"/>
        <v/>
      </c>
      <c r="AK38" s="348" t="str">
        <f t="shared" si="27"/>
        <v/>
      </c>
      <c r="AL38" s="168" t="str">
        <f t="shared" si="28"/>
        <v/>
      </c>
      <c r="AM38" s="169">
        <f t="shared" si="29"/>
        <v>0</v>
      </c>
      <c r="AN38" s="150" t="str">
        <f t="shared" si="20"/>
        <v/>
      </c>
      <c r="AO38" s="151" t="str">
        <f t="shared" si="21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23"/>
        <v>0</v>
      </c>
      <c r="N39" s="164" t="str">
        <f t="shared" si="24"/>
        <v/>
      </c>
      <c r="O39" s="164" t="str">
        <f t="shared" si="0"/>
        <v/>
      </c>
      <c r="P39" s="164" t="str">
        <f t="shared" si="1"/>
        <v/>
      </c>
      <c r="Q39" s="164">
        <f t="shared" si="25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5"/>
        <v/>
      </c>
      <c r="V39" s="104" t="str">
        <f t="shared" si="6"/>
        <v/>
      </c>
      <c r="W39" s="104" t="str">
        <f t="shared" si="7"/>
        <v/>
      </c>
      <c r="X39" s="104">
        <f t="shared" si="8"/>
        <v>0</v>
      </c>
      <c r="Y39" s="165" t="b">
        <f t="shared" si="9"/>
        <v>0</v>
      </c>
      <c r="Z39" s="165" t="b">
        <f t="shared" si="10"/>
        <v>0</v>
      </c>
      <c r="AA39" s="165" t="b">
        <f t="shared" si="11"/>
        <v>0</v>
      </c>
      <c r="AB39" s="165" t="b">
        <f t="shared" si="12"/>
        <v>0</v>
      </c>
      <c r="AC39" s="165" t="b">
        <f t="shared" si="13"/>
        <v>0</v>
      </c>
      <c r="AD39" s="165" t="b">
        <f t="shared" si="26"/>
        <v>0</v>
      </c>
      <c r="AE39" s="165" t="b">
        <f t="shared" si="14"/>
        <v>0</v>
      </c>
      <c r="AF39" s="165" t="b">
        <f t="shared" si="15"/>
        <v>0</v>
      </c>
      <c r="AG39" s="165" t="b">
        <f t="shared" si="16"/>
        <v>0</v>
      </c>
      <c r="AH39" s="165" t="b">
        <f t="shared" si="17"/>
        <v>0</v>
      </c>
      <c r="AI39" s="170" t="str">
        <f t="shared" si="18"/>
        <v/>
      </c>
      <c r="AJ39" s="171" t="str">
        <f t="shared" si="19"/>
        <v/>
      </c>
      <c r="AK39" s="348" t="str">
        <f t="shared" si="27"/>
        <v/>
      </c>
      <c r="AL39" s="168" t="str">
        <f t="shared" si="28"/>
        <v/>
      </c>
      <c r="AM39" s="169">
        <f t="shared" si="29"/>
        <v>0</v>
      </c>
      <c r="AN39" s="150" t="str">
        <f t="shared" si="20"/>
        <v/>
      </c>
      <c r="AO39" s="151" t="str">
        <f t="shared" si="21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23"/>
        <v>0</v>
      </c>
      <c r="N40" s="164" t="str">
        <f t="shared" si="24"/>
        <v/>
      </c>
      <c r="O40" s="164" t="str">
        <f t="shared" si="0"/>
        <v/>
      </c>
      <c r="P40" s="164" t="str">
        <f t="shared" si="1"/>
        <v/>
      </c>
      <c r="Q40" s="164">
        <f t="shared" si="25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5"/>
        <v/>
      </c>
      <c r="V40" s="104" t="str">
        <f t="shared" si="6"/>
        <v/>
      </c>
      <c r="W40" s="104" t="str">
        <f t="shared" si="7"/>
        <v/>
      </c>
      <c r="X40" s="104">
        <f t="shared" si="8"/>
        <v>0</v>
      </c>
      <c r="Y40" s="165" t="b">
        <f t="shared" si="9"/>
        <v>0</v>
      </c>
      <c r="Z40" s="165" t="b">
        <f t="shared" si="10"/>
        <v>0</v>
      </c>
      <c r="AA40" s="165" t="b">
        <f t="shared" si="11"/>
        <v>0</v>
      </c>
      <c r="AB40" s="165" t="b">
        <f t="shared" si="12"/>
        <v>0</v>
      </c>
      <c r="AC40" s="165" t="b">
        <f t="shared" si="13"/>
        <v>0</v>
      </c>
      <c r="AD40" s="165" t="b">
        <f t="shared" si="26"/>
        <v>0</v>
      </c>
      <c r="AE40" s="165" t="b">
        <f t="shared" si="14"/>
        <v>0</v>
      </c>
      <c r="AF40" s="165" t="b">
        <f t="shared" si="15"/>
        <v>0</v>
      </c>
      <c r="AG40" s="165" t="b">
        <f t="shared" si="16"/>
        <v>0</v>
      </c>
      <c r="AH40" s="165" t="b">
        <f t="shared" si="17"/>
        <v>0</v>
      </c>
      <c r="AI40" s="170" t="str">
        <f t="shared" si="18"/>
        <v/>
      </c>
      <c r="AJ40" s="171" t="str">
        <f t="shared" si="19"/>
        <v/>
      </c>
      <c r="AK40" s="348" t="str">
        <f t="shared" si="27"/>
        <v/>
      </c>
      <c r="AL40" s="168" t="str">
        <f t="shared" si="28"/>
        <v/>
      </c>
      <c r="AM40" s="169">
        <f t="shared" si="29"/>
        <v>0</v>
      </c>
      <c r="AN40" s="150" t="str">
        <f t="shared" si="20"/>
        <v/>
      </c>
      <c r="AO40" s="151" t="str">
        <f t="shared" si="21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23"/>
        <v>0</v>
      </c>
      <c r="N41" s="164" t="str">
        <f t="shared" si="24"/>
        <v/>
      </c>
      <c r="O41" s="164" t="str">
        <f t="shared" si="0"/>
        <v/>
      </c>
      <c r="P41" s="164" t="str">
        <f t="shared" si="1"/>
        <v/>
      </c>
      <c r="Q41" s="164">
        <f t="shared" si="25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5"/>
        <v/>
      </c>
      <c r="V41" s="104" t="str">
        <f t="shared" si="6"/>
        <v/>
      </c>
      <c r="W41" s="104" t="str">
        <f t="shared" si="7"/>
        <v/>
      </c>
      <c r="X41" s="104">
        <f t="shared" si="8"/>
        <v>0</v>
      </c>
      <c r="Y41" s="165" t="b">
        <f t="shared" si="9"/>
        <v>0</v>
      </c>
      <c r="Z41" s="165" t="b">
        <f t="shared" si="10"/>
        <v>0</v>
      </c>
      <c r="AA41" s="165" t="b">
        <f t="shared" si="11"/>
        <v>0</v>
      </c>
      <c r="AB41" s="165" t="b">
        <f t="shared" si="12"/>
        <v>0</v>
      </c>
      <c r="AC41" s="165" t="b">
        <f t="shared" si="13"/>
        <v>0</v>
      </c>
      <c r="AD41" s="165" t="b">
        <f t="shared" si="26"/>
        <v>0</v>
      </c>
      <c r="AE41" s="165" t="b">
        <f t="shared" si="14"/>
        <v>0</v>
      </c>
      <c r="AF41" s="165" t="b">
        <f t="shared" si="15"/>
        <v>0</v>
      </c>
      <c r="AG41" s="165" t="b">
        <f t="shared" si="16"/>
        <v>0</v>
      </c>
      <c r="AH41" s="165" t="b">
        <f t="shared" si="17"/>
        <v>0</v>
      </c>
      <c r="AI41" s="170" t="str">
        <f t="shared" si="18"/>
        <v/>
      </c>
      <c r="AJ41" s="171" t="str">
        <f t="shared" si="19"/>
        <v/>
      </c>
      <c r="AK41" s="348" t="str">
        <f t="shared" si="27"/>
        <v/>
      </c>
      <c r="AL41" s="168" t="str">
        <f t="shared" si="28"/>
        <v/>
      </c>
      <c r="AM41" s="169">
        <f t="shared" si="29"/>
        <v>0</v>
      </c>
      <c r="AN41" s="150" t="str">
        <f t="shared" si="20"/>
        <v/>
      </c>
      <c r="AO41" s="151" t="str">
        <f t="shared" si="21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23"/>
        <v>0</v>
      </c>
      <c r="N42" s="164" t="str">
        <f t="shared" si="24"/>
        <v/>
      </c>
      <c r="O42" s="164" t="str">
        <f t="shared" si="0"/>
        <v/>
      </c>
      <c r="P42" s="164" t="str">
        <f t="shared" si="1"/>
        <v/>
      </c>
      <c r="Q42" s="164">
        <f t="shared" si="25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5"/>
        <v/>
      </c>
      <c r="V42" s="104" t="str">
        <f t="shared" si="6"/>
        <v/>
      </c>
      <c r="W42" s="104" t="str">
        <f t="shared" si="7"/>
        <v/>
      </c>
      <c r="X42" s="104">
        <f t="shared" si="8"/>
        <v>0</v>
      </c>
      <c r="Y42" s="165" t="b">
        <f t="shared" si="9"/>
        <v>0</v>
      </c>
      <c r="Z42" s="165" t="b">
        <f t="shared" si="10"/>
        <v>0</v>
      </c>
      <c r="AA42" s="165" t="b">
        <f t="shared" si="11"/>
        <v>0</v>
      </c>
      <c r="AB42" s="165" t="b">
        <f t="shared" si="12"/>
        <v>0</v>
      </c>
      <c r="AC42" s="165" t="b">
        <f t="shared" si="13"/>
        <v>0</v>
      </c>
      <c r="AD42" s="165" t="b">
        <f t="shared" si="26"/>
        <v>0</v>
      </c>
      <c r="AE42" s="165" t="b">
        <f t="shared" si="14"/>
        <v>0</v>
      </c>
      <c r="AF42" s="165" t="b">
        <f t="shared" si="15"/>
        <v>0</v>
      </c>
      <c r="AG42" s="165" t="b">
        <f t="shared" si="16"/>
        <v>0</v>
      </c>
      <c r="AH42" s="165" t="b">
        <f t="shared" si="17"/>
        <v>0</v>
      </c>
      <c r="AI42" s="170" t="str">
        <f t="shared" si="18"/>
        <v/>
      </c>
      <c r="AJ42" s="171" t="str">
        <f t="shared" si="19"/>
        <v/>
      </c>
      <c r="AK42" s="348" t="str">
        <f t="shared" si="27"/>
        <v/>
      </c>
      <c r="AL42" s="168" t="str">
        <f t="shared" si="28"/>
        <v/>
      </c>
      <c r="AM42" s="169">
        <f t="shared" si="29"/>
        <v>0</v>
      </c>
      <c r="AN42" s="150" t="str">
        <f t="shared" si="20"/>
        <v/>
      </c>
      <c r="AO42" s="151" t="str">
        <f t="shared" si="21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23"/>
        <v>0</v>
      </c>
      <c r="N43" s="164" t="str">
        <f t="shared" si="24"/>
        <v/>
      </c>
      <c r="O43" s="164" t="str">
        <f t="shared" si="0"/>
        <v/>
      </c>
      <c r="P43" s="164" t="str">
        <f t="shared" si="1"/>
        <v/>
      </c>
      <c r="Q43" s="164">
        <f t="shared" si="25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5"/>
        <v/>
      </c>
      <c r="V43" s="104" t="str">
        <f t="shared" si="6"/>
        <v/>
      </c>
      <c r="W43" s="104" t="str">
        <f t="shared" si="7"/>
        <v/>
      </c>
      <c r="X43" s="104">
        <f t="shared" si="8"/>
        <v>0</v>
      </c>
      <c r="Y43" s="165" t="b">
        <f t="shared" si="9"/>
        <v>0</v>
      </c>
      <c r="Z43" s="165" t="b">
        <f t="shared" si="10"/>
        <v>0</v>
      </c>
      <c r="AA43" s="165" t="b">
        <f t="shared" si="11"/>
        <v>0</v>
      </c>
      <c r="AB43" s="165" t="b">
        <f t="shared" si="12"/>
        <v>0</v>
      </c>
      <c r="AC43" s="165" t="b">
        <f t="shared" si="13"/>
        <v>0</v>
      </c>
      <c r="AD43" s="165" t="b">
        <f t="shared" si="26"/>
        <v>0</v>
      </c>
      <c r="AE43" s="165" t="b">
        <f t="shared" si="14"/>
        <v>0</v>
      </c>
      <c r="AF43" s="165" t="b">
        <f t="shared" si="15"/>
        <v>0</v>
      </c>
      <c r="AG43" s="165" t="b">
        <f t="shared" si="16"/>
        <v>0</v>
      </c>
      <c r="AH43" s="165" t="b">
        <f t="shared" si="17"/>
        <v>0</v>
      </c>
      <c r="AI43" s="170" t="str">
        <f t="shared" si="18"/>
        <v/>
      </c>
      <c r="AJ43" s="171" t="str">
        <f t="shared" si="19"/>
        <v/>
      </c>
      <c r="AK43" s="348" t="str">
        <f t="shared" si="27"/>
        <v/>
      </c>
      <c r="AL43" s="168" t="str">
        <f t="shared" si="28"/>
        <v/>
      </c>
      <c r="AM43" s="169">
        <f t="shared" si="29"/>
        <v>0</v>
      </c>
      <c r="AN43" s="150" t="str">
        <f t="shared" si="20"/>
        <v/>
      </c>
      <c r="AO43" s="151" t="str">
        <f t="shared" si="21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23"/>
        <v>0</v>
      </c>
      <c r="N44" s="164" t="str">
        <f t="shared" si="24"/>
        <v/>
      </c>
      <c r="O44" s="164" t="str">
        <f t="shared" si="0"/>
        <v/>
      </c>
      <c r="P44" s="164" t="str">
        <f t="shared" si="1"/>
        <v/>
      </c>
      <c r="Q44" s="164">
        <f t="shared" si="25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5"/>
        <v/>
      </c>
      <c r="V44" s="104" t="str">
        <f t="shared" si="6"/>
        <v/>
      </c>
      <c r="W44" s="104" t="str">
        <f t="shared" si="7"/>
        <v/>
      </c>
      <c r="X44" s="104">
        <f t="shared" si="8"/>
        <v>0</v>
      </c>
      <c r="Y44" s="165" t="b">
        <f t="shared" si="9"/>
        <v>0</v>
      </c>
      <c r="Z44" s="165" t="b">
        <f t="shared" si="10"/>
        <v>0</v>
      </c>
      <c r="AA44" s="165" t="b">
        <f t="shared" si="11"/>
        <v>0</v>
      </c>
      <c r="AB44" s="165" t="b">
        <f t="shared" si="12"/>
        <v>0</v>
      </c>
      <c r="AC44" s="165" t="b">
        <f t="shared" si="13"/>
        <v>0</v>
      </c>
      <c r="AD44" s="165" t="b">
        <f t="shared" si="26"/>
        <v>0</v>
      </c>
      <c r="AE44" s="165" t="b">
        <f t="shared" si="14"/>
        <v>0</v>
      </c>
      <c r="AF44" s="165" t="b">
        <f t="shared" si="15"/>
        <v>0</v>
      </c>
      <c r="AG44" s="165" t="b">
        <f t="shared" si="16"/>
        <v>0</v>
      </c>
      <c r="AH44" s="165" t="b">
        <f t="shared" si="17"/>
        <v>0</v>
      </c>
      <c r="AI44" s="170" t="str">
        <f t="shared" si="18"/>
        <v/>
      </c>
      <c r="AJ44" s="171" t="str">
        <f t="shared" si="19"/>
        <v/>
      </c>
      <c r="AK44" s="348" t="str">
        <f t="shared" si="27"/>
        <v/>
      </c>
      <c r="AL44" s="168" t="str">
        <f t="shared" si="28"/>
        <v/>
      </c>
      <c r="AM44" s="169">
        <f t="shared" si="29"/>
        <v>0</v>
      </c>
      <c r="AN44" s="150" t="str">
        <f t="shared" si="20"/>
        <v/>
      </c>
      <c r="AO44" s="151" t="str">
        <f t="shared" si="21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23"/>
        <v>0</v>
      </c>
      <c r="N45" s="164" t="str">
        <f t="shared" si="24"/>
        <v/>
      </c>
      <c r="O45" s="164" t="str">
        <f t="shared" si="0"/>
        <v/>
      </c>
      <c r="P45" s="164" t="str">
        <f t="shared" si="1"/>
        <v/>
      </c>
      <c r="Q45" s="164">
        <f t="shared" si="25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5"/>
        <v/>
      </c>
      <c r="V45" s="104" t="str">
        <f t="shared" si="6"/>
        <v/>
      </c>
      <c r="W45" s="104" t="str">
        <f t="shared" si="7"/>
        <v/>
      </c>
      <c r="X45" s="104">
        <f t="shared" si="8"/>
        <v>0</v>
      </c>
      <c r="Y45" s="165" t="b">
        <f t="shared" si="9"/>
        <v>0</v>
      </c>
      <c r="Z45" s="165" t="b">
        <f t="shared" si="10"/>
        <v>0</v>
      </c>
      <c r="AA45" s="165" t="b">
        <f t="shared" si="11"/>
        <v>0</v>
      </c>
      <c r="AB45" s="165" t="b">
        <f t="shared" si="12"/>
        <v>0</v>
      </c>
      <c r="AC45" s="165" t="b">
        <f t="shared" si="13"/>
        <v>0</v>
      </c>
      <c r="AD45" s="165" t="b">
        <f t="shared" si="26"/>
        <v>0</v>
      </c>
      <c r="AE45" s="165" t="b">
        <f t="shared" si="14"/>
        <v>0</v>
      </c>
      <c r="AF45" s="165" t="b">
        <f t="shared" si="15"/>
        <v>0</v>
      </c>
      <c r="AG45" s="165" t="b">
        <f t="shared" si="16"/>
        <v>0</v>
      </c>
      <c r="AH45" s="165" t="b">
        <f t="shared" si="17"/>
        <v>0</v>
      </c>
      <c r="AI45" s="170" t="str">
        <f t="shared" si="18"/>
        <v/>
      </c>
      <c r="AJ45" s="171" t="str">
        <f t="shared" si="19"/>
        <v/>
      </c>
      <c r="AK45" s="348" t="str">
        <f t="shared" si="27"/>
        <v/>
      </c>
      <c r="AL45" s="168" t="str">
        <f t="shared" si="28"/>
        <v/>
      </c>
      <c r="AM45" s="169">
        <f t="shared" si="29"/>
        <v>0</v>
      </c>
      <c r="AN45" s="150" t="str">
        <f t="shared" si="20"/>
        <v/>
      </c>
      <c r="AO45" s="151" t="str">
        <f t="shared" si="21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23"/>
        <v>0</v>
      </c>
      <c r="N46" s="164" t="str">
        <f t="shared" si="24"/>
        <v/>
      </c>
      <c r="O46" s="164" t="str">
        <f t="shared" si="0"/>
        <v/>
      </c>
      <c r="P46" s="164" t="str">
        <f t="shared" si="1"/>
        <v/>
      </c>
      <c r="Q46" s="164">
        <f t="shared" si="25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5"/>
        <v/>
      </c>
      <c r="V46" s="104" t="str">
        <f t="shared" si="6"/>
        <v/>
      </c>
      <c r="W46" s="104" t="str">
        <f t="shared" si="7"/>
        <v/>
      </c>
      <c r="X46" s="104">
        <f t="shared" si="8"/>
        <v>0</v>
      </c>
      <c r="Y46" s="165" t="b">
        <f t="shared" si="9"/>
        <v>0</v>
      </c>
      <c r="Z46" s="165" t="b">
        <f t="shared" si="10"/>
        <v>0</v>
      </c>
      <c r="AA46" s="165" t="b">
        <f t="shared" si="11"/>
        <v>0</v>
      </c>
      <c r="AB46" s="165" t="b">
        <f t="shared" si="12"/>
        <v>0</v>
      </c>
      <c r="AC46" s="165" t="b">
        <f t="shared" si="13"/>
        <v>0</v>
      </c>
      <c r="AD46" s="165" t="b">
        <f t="shared" si="26"/>
        <v>0</v>
      </c>
      <c r="AE46" s="165" t="b">
        <f t="shared" si="14"/>
        <v>0</v>
      </c>
      <c r="AF46" s="165" t="b">
        <f t="shared" si="15"/>
        <v>0</v>
      </c>
      <c r="AG46" s="165" t="b">
        <f t="shared" si="16"/>
        <v>0</v>
      </c>
      <c r="AH46" s="165" t="b">
        <f t="shared" si="17"/>
        <v>0</v>
      </c>
      <c r="AI46" s="170" t="str">
        <f t="shared" si="18"/>
        <v/>
      </c>
      <c r="AJ46" s="171" t="str">
        <f t="shared" si="19"/>
        <v/>
      </c>
      <c r="AK46" s="348" t="str">
        <f t="shared" si="27"/>
        <v/>
      </c>
      <c r="AL46" s="168" t="str">
        <f t="shared" si="28"/>
        <v/>
      </c>
      <c r="AM46" s="169">
        <f t="shared" si="29"/>
        <v>0</v>
      </c>
      <c r="AN46" s="150" t="str">
        <f t="shared" si="20"/>
        <v/>
      </c>
      <c r="AO46" s="151" t="str">
        <f t="shared" si="21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23"/>
        <v>0</v>
      </c>
      <c r="N47" s="164" t="str">
        <f t="shared" si="24"/>
        <v/>
      </c>
      <c r="O47" s="164" t="str">
        <f t="shared" si="0"/>
        <v/>
      </c>
      <c r="P47" s="164" t="str">
        <f t="shared" si="1"/>
        <v/>
      </c>
      <c r="Q47" s="164">
        <f t="shared" si="25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5"/>
        <v/>
      </c>
      <c r="V47" s="104" t="str">
        <f t="shared" si="6"/>
        <v/>
      </c>
      <c r="W47" s="104" t="str">
        <f t="shared" si="7"/>
        <v/>
      </c>
      <c r="X47" s="104">
        <f t="shared" si="8"/>
        <v>0</v>
      </c>
      <c r="Y47" s="165" t="b">
        <f t="shared" si="9"/>
        <v>0</v>
      </c>
      <c r="Z47" s="165" t="b">
        <f t="shared" si="10"/>
        <v>0</v>
      </c>
      <c r="AA47" s="165" t="b">
        <f t="shared" si="11"/>
        <v>0</v>
      </c>
      <c r="AB47" s="165" t="b">
        <f t="shared" si="12"/>
        <v>0</v>
      </c>
      <c r="AC47" s="165" t="b">
        <f t="shared" si="13"/>
        <v>0</v>
      </c>
      <c r="AD47" s="165" t="b">
        <f t="shared" si="26"/>
        <v>0</v>
      </c>
      <c r="AE47" s="165" t="b">
        <f t="shared" si="14"/>
        <v>0</v>
      </c>
      <c r="AF47" s="165" t="b">
        <f t="shared" si="15"/>
        <v>0</v>
      </c>
      <c r="AG47" s="165" t="b">
        <f t="shared" si="16"/>
        <v>0</v>
      </c>
      <c r="AH47" s="165" t="b">
        <f t="shared" si="17"/>
        <v>0</v>
      </c>
      <c r="AI47" s="170" t="str">
        <f t="shared" si="18"/>
        <v/>
      </c>
      <c r="AJ47" s="171" t="str">
        <f t="shared" si="19"/>
        <v/>
      </c>
      <c r="AK47" s="348" t="str">
        <f t="shared" si="27"/>
        <v/>
      </c>
      <c r="AL47" s="168" t="str">
        <f t="shared" si="28"/>
        <v/>
      </c>
      <c r="AM47" s="169">
        <f t="shared" si="29"/>
        <v>0</v>
      </c>
      <c r="AN47" s="150" t="str">
        <f t="shared" si="20"/>
        <v/>
      </c>
      <c r="AO47" s="151" t="str">
        <f t="shared" si="21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23"/>
        <v>0</v>
      </c>
      <c r="N48" s="164" t="str">
        <f t="shared" si="24"/>
        <v/>
      </c>
      <c r="O48" s="164" t="str">
        <f t="shared" si="0"/>
        <v/>
      </c>
      <c r="P48" s="164" t="str">
        <f t="shared" si="1"/>
        <v/>
      </c>
      <c r="Q48" s="164">
        <f t="shared" si="25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5"/>
        <v/>
      </c>
      <c r="V48" s="104" t="str">
        <f t="shared" si="6"/>
        <v/>
      </c>
      <c r="W48" s="104" t="str">
        <f t="shared" si="7"/>
        <v/>
      </c>
      <c r="X48" s="104">
        <f t="shared" si="8"/>
        <v>0</v>
      </c>
      <c r="Y48" s="165" t="b">
        <f t="shared" si="9"/>
        <v>0</v>
      </c>
      <c r="Z48" s="165" t="b">
        <f t="shared" si="10"/>
        <v>0</v>
      </c>
      <c r="AA48" s="165" t="b">
        <f t="shared" si="11"/>
        <v>0</v>
      </c>
      <c r="AB48" s="165" t="b">
        <f t="shared" si="12"/>
        <v>0</v>
      </c>
      <c r="AC48" s="165" t="b">
        <f t="shared" si="13"/>
        <v>0</v>
      </c>
      <c r="AD48" s="165" t="b">
        <f t="shared" si="26"/>
        <v>0</v>
      </c>
      <c r="AE48" s="165" t="b">
        <f t="shared" si="14"/>
        <v>0</v>
      </c>
      <c r="AF48" s="165" t="b">
        <f t="shared" si="15"/>
        <v>0</v>
      </c>
      <c r="AG48" s="165" t="b">
        <f t="shared" si="16"/>
        <v>0</v>
      </c>
      <c r="AH48" s="165" t="b">
        <f t="shared" si="17"/>
        <v>0</v>
      </c>
      <c r="AI48" s="170" t="str">
        <f t="shared" si="18"/>
        <v/>
      </c>
      <c r="AJ48" s="171" t="str">
        <f t="shared" si="19"/>
        <v/>
      </c>
      <c r="AK48" s="348" t="str">
        <f t="shared" si="27"/>
        <v/>
      </c>
      <c r="AL48" s="168" t="str">
        <f t="shared" si="28"/>
        <v/>
      </c>
      <c r="AM48" s="169">
        <f t="shared" si="29"/>
        <v>0</v>
      </c>
      <c r="AN48" s="150" t="str">
        <f t="shared" si="20"/>
        <v/>
      </c>
      <c r="AO48" s="151" t="str">
        <f t="shared" si="21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23"/>
        <v>0</v>
      </c>
      <c r="N49" s="164" t="str">
        <f t="shared" si="24"/>
        <v/>
      </c>
      <c r="O49" s="164" t="str">
        <f t="shared" si="0"/>
        <v/>
      </c>
      <c r="P49" s="164" t="str">
        <f t="shared" si="1"/>
        <v/>
      </c>
      <c r="Q49" s="164">
        <f t="shared" si="25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5"/>
        <v/>
      </c>
      <c r="V49" s="104" t="str">
        <f t="shared" si="6"/>
        <v/>
      </c>
      <c r="W49" s="104" t="str">
        <f t="shared" si="7"/>
        <v/>
      </c>
      <c r="X49" s="104">
        <f t="shared" si="8"/>
        <v>0</v>
      </c>
      <c r="Y49" s="165" t="b">
        <f t="shared" si="9"/>
        <v>0</v>
      </c>
      <c r="Z49" s="165" t="b">
        <f t="shared" si="10"/>
        <v>0</v>
      </c>
      <c r="AA49" s="165" t="b">
        <f t="shared" si="11"/>
        <v>0</v>
      </c>
      <c r="AB49" s="165" t="b">
        <f t="shared" si="12"/>
        <v>0</v>
      </c>
      <c r="AC49" s="165" t="b">
        <f t="shared" si="13"/>
        <v>0</v>
      </c>
      <c r="AD49" s="165" t="b">
        <f t="shared" si="26"/>
        <v>0</v>
      </c>
      <c r="AE49" s="165" t="b">
        <f t="shared" si="14"/>
        <v>0</v>
      </c>
      <c r="AF49" s="165" t="b">
        <f t="shared" si="15"/>
        <v>0</v>
      </c>
      <c r="AG49" s="165" t="b">
        <f t="shared" si="16"/>
        <v>0</v>
      </c>
      <c r="AH49" s="165" t="b">
        <f t="shared" si="17"/>
        <v>0</v>
      </c>
      <c r="AI49" s="170" t="str">
        <f t="shared" si="18"/>
        <v/>
      </c>
      <c r="AJ49" s="171" t="str">
        <f t="shared" si="19"/>
        <v/>
      </c>
      <c r="AK49" s="348" t="str">
        <f t="shared" si="27"/>
        <v/>
      </c>
      <c r="AL49" s="168" t="str">
        <f t="shared" si="28"/>
        <v/>
      </c>
      <c r="AM49" s="169">
        <f t="shared" si="29"/>
        <v>0</v>
      </c>
      <c r="AN49" s="150" t="str">
        <f t="shared" si="20"/>
        <v/>
      </c>
      <c r="AO49" s="151" t="str">
        <f t="shared" si="21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23"/>
        <v>0</v>
      </c>
      <c r="N50" s="164" t="str">
        <f t="shared" si="24"/>
        <v/>
      </c>
      <c r="O50" s="164" t="str">
        <f t="shared" si="0"/>
        <v/>
      </c>
      <c r="P50" s="164" t="str">
        <f t="shared" si="1"/>
        <v/>
      </c>
      <c r="Q50" s="164">
        <f t="shared" si="25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5"/>
        <v/>
      </c>
      <c r="V50" s="104" t="str">
        <f t="shared" si="6"/>
        <v/>
      </c>
      <c r="W50" s="104" t="str">
        <f t="shared" si="7"/>
        <v/>
      </c>
      <c r="X50" s="104">
        <f t="shared" si="8"/>
        <v>0</v>
      </c>
      <c r="Y50" s="165" t="b">
        <f t="shared" si="9"/>
        <v>0</v>
      </c>
      <c r="Z50" s="165" t="b">
        <f t="shared" si="10"/>
        <v>0</v>
      </c>
      <c r="AA50" s="165" t="b">
        <f t="shared" si="11"/>
        <v>0</v>
      </c>
      <c r="AB50" s="165" t="b">
        <f t="shared" si="12"/>
        <v>0</v>
      </c>
      <c r="AC50" s="165" t="b">
        <f t="shared" si="13"/>
        <v>0</v>
      </c>
      <c r="AD50" s="165" t="b">
        <f t="shared" si="26"/>
        <v>0</v>
      </c>
      <c r="AE50" s="165" t="b">
        <f t="shared" si="14"/>
        <v>0</v>
      </c>
      <c r="AF50" s="165" t="b">
        <f t="shared" si="15"/>
        <v>0</v>
      </c>
      <c r="AG50" s="165" t="b">
        <f t="shared" si="16"/>
        <v>0</v>
      </c>
      <c r="AH50" s="165" t="b">
        <f t="shared" si="17"/>
        <v>0</v>
      </c>
      <c r="AI50" s="170" t="str">
        <f t="shared" si="18"/>
        <v/>
      </c>
      <c r="AJ50" s="171" t="str">
        <f t="shared" si="19"/>
        <v/>
      </c>
      <c r="AK50" s="348" t="str">
        <f t="shared" si="27"/>
        <v/>
      </c>
      <c r="AL50" s="168" t="str">
        <f t="shared" si="28"/>
        <v/>
      </c>
      <c r="AM50" s="169">
        <f t="shared" si="29"/>
        <v>0</v>
      </c>
      <c r="AN50" s="150" t="str">
        <f t="shared" si="20"/>
        <v/>
      </c>
      <c r="AO50" s="151" t="str">
        <f t="shared" si="21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23"/>
        <v>0</v>
      </c>
      <c r="N51" s="164" t="str">
        <f t="shared" si="24"/>
        <v/>
      </c>
      <c r="O51" s="164" t="str">
        <f t="shared" si="0"/>
        <v/>
      </c>
      <c r="P51" s="164" t="str">
        <f t="shared" si="1"/>
        <v/>
      </c>
      <c r="Q51" s="164">
        <f t="shared" si="25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5"/>
        <v/>
      </c>
      <c r="V51" s="104" t="str">
        <f t="shared" si="6"/>
        <v/>
      </c>
      <c r="W51" s="104" t="str">
        <f t="shared" si="7"/>
        <v/>
      </c>
      <c r="X51" s="104">
        <f t="shared" si="8"/>
        <v>0</v>
      </c>
      <c r="Y51" s="165" t="b">
        <f t="shared" si="9"/>
        <v>0</v>
      </c>
      <c r="Z51" s="165" t="b">
        <f t="shared" si="10"/>
        <v>0</v>
      </c>
      <c r="AA51" s="165" t="b">
        <f t="shared" si="11"/>
        <v>0</v>
      </c>
      <c r="AB51" s="165" t="b">
        <f t="shared" si="12"/>
        <v>0</v>
      </c>
      <c r="AC51" s="165" t="b">
        <f t="shared" si="13"/>
        <v>0</v>
      </c>
      <c r="AD51" s="165" t="b">
        <f t="shared" si="26"/>
        <v>0</v>
      </c>
      <c r="AE51" s="165" t="b">
        <f t="shared" si="14"/>
        <v>0</v>
      </c>
      <c r="AF51" s="165" t="b">
        <f t="shared" si="15"/>
        <v>0</v>
      </c>
      <c r="AG51" s="165" t="b">
        <f t="shared" si="16"/>
        <v>0</v>
      </c>
      <c r="AH51" s="165" t="b">
        <f t="shared" si="17"/>
        <v>0</v>
      </c>
      <c r="AI51" s="170" t="str">
        <f t="shared" si="18"/>
        <v/>
      </c>
      <c r="AJ51" s="171" t="str">
        <f t="shared" si="19"/>
        <v/>
      </c>
      <c r="AK51" s="348" t="str">
        <f t="shared" si="27"/>
        <v/>
      </c>
      <c r="AL51" s="168" t="str">
        <f t="shared" si="28"/>
        <v/>
      </c>
      <c r="AM51" s="169">
        <f t="shared" si="29"/>
        <v>0</v>
      </c>
      <c r="AN51" s="150" t="str">
        <f t="shared" si="20"/>
        <v/>
      </c>
      <c r="AO51" s="151" t="str">
        <f t="shared" si="21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23"/>
        <v>0</v>
      </c>
      <c r="N52" s="164" t="str">
        <f t="shared" si="24"/>
        <v/>
      </c>
      <c r="O52" s="164" t="str">
        <f t="shared" si="0"/>
        <v/>
      </c>
      <c r="P52" s="164" t="str">
        <f t="shared" si="1"/>
        <v/>
      </c>
      <c r="Q52" s="164">
        <f t="shared" si="25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5"/>
        <v/>
      </c>
      <c r="V52" s="104" t="str">
        <f t="shared" si="6"/>
        <v/>
      </c>
      <c r="W52" s="104" t="str">
        <f t="shared" si="7"/>
        <v/>
      </c>
      <c r="X52" s="104">
        <f t="shared" si="8"/>
        <v>0</v>
      </c>
      <c r="Y52" s="165" t="b">
        <f t="shared" si="9"/>
        <v>0</v>
      </c>
      <c r="Z52" s="165" t="b">
        <f t="shared" si="10"/>
        <v>0</v>
      </c>
      <c r="AA52" s="165" t="b">
        <f t="shared" si="11"/>
        <v>0</v>
      </c>
      <c r="AB52" s="165" t="b">
        <f t="shared" si="12"/>
        <v>0</v>
      </c>
      <c r="AC52" s="165" t="b">
        <f t="shared" si="13"/>
        <v>0</v>
      </c>
      <c r="AD52" s="165" t="b">
        <f t="shared" si="26"/>
        <v>0</v>
      </c>
      <c r="AE52" s="165" t="b">
        <f t="shared" si="14"/>
        <v>0</v>
      </c>
      <c r="AF52" s="165" t="b">
        <f t="shared" si="15"/>
        <v>0</v>
      </c>
      <c r="AG52" s="165" t="b">
        <f t="shared" si="16"/>
        <v>0</v>
      </c>
      <c r="AH52" s="165" t="b">
        <f t="shared" si="17"/>
        <v>0</v>
      </c>
      <c r="AI52" s="170" t="str">
        <f t="shared" si="18"/>
        <v/>
      </c>
      <c r="AJ52" s="171" t="str">
        <f t="shared" si="19"/>
        <v/>
      </c>
      <c r="AK52" s="348" t="str">
        <f t="shared" si="27"/>
        <v/>
      </c>
      <c r="AL52" s="168" t="str">
        <f t="shared" si="28"/>
        <v/>
      </c>
      <c r="AM52" s="169">
        <f t="shared" si="29"/>
        <v>0</v>
      </c>
      <c r="AN52" s="150" t="str">
        <f t="shared" si="20"/>
        <v/>
      </c>
      <c r="AO52" s="151" t="str">
        <f t="shared" si="21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23"/>
        <v>0</v>
      </c>
      <c r="N53" s="164" t="str">
        <f t="shared" si="24"/>
        <v/>
      </c>
      <c r="O53" s="164" t="str">
        <f t="shared" si="0"/>
        <v/>
      </c>
      <c r="P53" s="164" t="str">
        <f t="shared" si="1"/>
        <v/>
      </c>
      <c r="Q53" s="164">
        <f t="shared" si="25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5"/>
        <v/>
      </c>
      <c r="V53" s="104" t="str">
        <f t="shared" si="6"/>
        <v/>
      </c>
      <c r="W53" s="104" t="str">
        <f t="shared" si="7"/>
        <v/>
      </c>
      <c r="X53" s="104">
        <f t="shared" si="8"/>
        <v>0</v>
      </c>
      <c r="Y53" s="165" t="b">
        <f t="shared" si="9"/>
        <v>0</v>
      </c>
      <c r="Z53" s="165" t="b">
        <f t="shared" si="10"/>
        <v>0</v>
      </c>
      <c r="AA53" s="165" t="b">
        <f t="shared" si="11"/>
        <v>0</v>
      </c>
      <c r="AB53" s="165" t="b">
        <f t="shared" si="12"/>
        <v>0</v>
      </c>
      <c r="AC53" s="165" t="b">
        <f t="shared" si="13"/>
        <v>0</v>
      </c>
      <c r="AD53" s="165" t="b">
        <f t="shared" si="26"/>
        <v>0</v>
      </c>
      <c r="AE53" s="165" t="b">
        <f t="shared" si="14"/>
        <v>0</v>
      </c>
      <c r="AF53" s="165" t="b">
        <f t="shared" si="15"/>
        <v>0</v>
      </c>
      <c r="AG53" s="165" t="b">
        <f t="shared" si="16"/>
        <v>0</v>
      </c>
      <c r="AH53" s="165" t="b">
        <f t="shared" si="17"/>
        <v>0</v>
      </c>
      <c r="AI53" s="178" t="str">
        <f t="shared" si="18"/>
        <v/>
      </c>
      <c r="AJ53" s="171" t="str">
        <f t="shared" si="19"/>
        <v/>
      </c>
      <c r="AK53" s="348" t="str">
        <f t="shared" si="27"/>
        <v/>
      </c>
      <c r="AL53" s="168" t="str">
        <f t="shared" si="28"/>
        <v/>
      </c>
      <c r="AM53" s="169">
        <f t="shared" si="29"/>
        <v>0</v>
      </c>
      <c r="AN53" s="150" t="str">
        <f t="shared" si="20"/>
        <v/>
      </c>
      <c r="AO53" s="151" t="str">
        <f t="shared" si="21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14</v>
      </c>
      <c r="C54" s="264" t="s">
        <v>47</v>
      </c>
      <c r="D54" s="264"/>
      <c r="E54" s="264"/>
      <c r="F54" s="264"/>
      <c r="G54" s="179">
        <f>IF(R56=0,"",IF(R56&gt;0,R55))</f>
        <v>0.61538461538461542</v>
      </c>
      <c r="H54" s="180">
        <f>IF(S56=0,"",IF(S56&gt;0,S55))</f>
        <v>0.84615384615384615</v>
      </c>
      <c r="I54" s="180">
        <f>IF(T56=0,"",IF(T56&gt;0,T55))</f>
        <v>1</v>
      </c>
      <c r="J54" s="180" t="str">
        <f t="shared" ref="J54:L54" si="37">IF(U56=0,"",IF(U56&gt;0,U55))</f>
        <v/>
      </c>
      <c r="K54" s="180" t="str">
        <f t="shared" si="37"/>
        <v/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8</v>
      </c>
      <c r="S54" s="181">
        <f t="shared" si="38"/>
        <v>11</v>
      </c>
      <c r="T54" s="181">
        <f t="shared" si="38"/>
        <v>14</v>
      </c>
      <c r="U54" s="181">
        <f t="shared" si="38"/>
        <v>0</v>
      </c>
      <c r="V54" s="181">
        <f t="shared" si="38"/>
        <v>0</v>
      </c>
      <c r="W54" s="181">
        <f t="shared" si="38"/>
        <v>13</v>
      </c>
      <c r="X54" s="182">
        <f>SUM(AJ18:AJ53)</f>
        <v>12.25</v>
      </c>
      <c r="Y54" s="182">
        <f t="shared" ref="Y54:AH54" si="39">SUM(Y18:Y53)</f>
        <v>0</v>
      </c>
      <c r="Z54" s="182">
        <f t="shared" si="39"/>
        <v>5.25</v>
      </c>
      <c r="AA54" s="182">
        <f t="shared" si="39"/>
        <v>7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>
        <f>IF(X57=0,"",IF(X57&gt;0,$X$55))</f>
        <v>0.875</v>
      </c>
      <c r="AK54" s="352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>
        <f t="shared" ref="R55:W55" si="40">R54/R56</f>
        <v>0.61538461538461542</v>
      </c>
      <c r="S55" s="189">
        <f t="shared" si="40"/>
        <v>0.84615384615384615</v>
      </c>
      <c r="T55" s="189">
        <f t="shared" si="40"/>
        <v>1</v>
      </c>
      <c r="U55" s="189" t="e">
        <f t="shared" si="40"/>
        <v>#DIV/0!</v>
      </c>
      <c r="V55" s="189" t="e">
        <f t="shared" si="40"/>
        <v>#DIV/0!</v>
      </c>
      <c r="W55" s="189">
        <f t="shared" si="40"/>
        <v>1</v>
      </c>
      <c r="X55" s="189">
        <f>X54/X57</f>
        <v>0.875</v>
      </c>
      <c r="Y55" s="165">
        <f>Y54/10</f>
        <v>0</v>
      </c>
      <c r="Z55" s="165">
        <f t="shared" ref="Z55:AH55" si="41">Z54/10</f>
        <v>0.52500000000000002</v>
      </c>
      <c r="AA55" s="165">
        <f t="shared" si="41"/>
        <v>0.7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1</v>
      </c>
      <c r="AS55" s="129">
        <f>IF($C$2&lt;6,"",IF($C$2&gt;=6,(AS58+AS59)/AS57))</f>
        <v>1</v>
      </c>
      <c r="AT55" s="129">
        <f>IF($C$2&lt;6,"",IF($C$2&gt;=6,(AT58+AT59)/AT57))</f>
        <v>1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13</v>
      </c>
      <c r="S56" s="3">
        <f t="shared" si="42"/>
        <v>13</v>
      </c>
      <c r="T56" s="3">
        <f t="shared" si="42"/>
        <v>14</v>
      </c>
      <c r="U56" s="3">
        <f t="shared" si="42"/>
        <v>0</v>
      </c>
      <c r="V56" s="3">
        <f t="shared" si="42"/>
        <v>0</v>
      </c>
      <c r="W56" s="3">
        <f t="shared" si="42"/>
        <v>13</v>
      </c>
      <c r="X56" s="3">
        <f>COUNTIF(AJ18:AJ53,"")</f>
        <v>22</v>
      </c>
      <c r="Y56" s="10" t="e">
        <f>Y54/C68*C70</f>
        <v>#DIV/0!</v>
      </c>
      <c r="Z56" s="10">
        <f>Z54/D68*D70</f>
        <v>0.375</v>
      </c>
      <c r="AA56" s="10">
        <f>AA54/E68*E70</f>
        <v>0.5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14</v>
      </c>
      <c r="AQ56" s="3"/>
      <c r="AR56" s="129">
        <f>IF($C$2&lt;6,"",IF($C$2&gt;=6,(AR59/AR57)))</f>
        <v>0.30769230769230771</v>
      </c>
      <c r="AS56" s="129">
        <f>IF($C$2&lt;6,"",IF($C$2&gt;=6,(AS59/AS57)))</f>
        <v>0.61538461538461542</v>
      </c>
      <c r="AT56" s="129">
        <f>IF($C$2&lt;6,"",IF($C$2&gt;=6,(AT59/AT57)))</f>
        <v>0.76923076923076927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6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14</v>
      </c>
      <c r="AD57" s="3"/>
      <c r="AN57" s="3"/>
      <c r="AO57" s="3"/>
      <c r="AP57" s="2"/>
      <c r="AQ57" s="3"/>
      <c r="AR57" s="77">
        <f t="shared" ref="AR57:AS57" si="43">COUNTIF(AR18:AR53,"&gt;""")</f>
        <v>13</v>
      </c>
      <c r="AS57" s="77">
        <f t="shared" si="43"/>
        <v>13</v>
      </c>
      <c r="AT57" s="77">
        <f>COUNTIF(AT18:AT53,"&gt;""")</f>
        <v>13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9</v>
      </c>
      <c r="AS58" s="103">
        <f t="shared" ref="AS58:AT58" si="44">COUNTIF(AS18:AS53,"1F")</f>
        <v>5</v>
      </c>
      <c r="AT58" s="103">
        <f t="shared" si="44"/>
        <v>3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4</v>
      </c>
      <c r="AS59" s="103">
        <f t="shared" ref="AS59" si="45">COUNTIF(AS18:AS53,"2F")</f>
        <v>8</v>
      </c>
      <c r="AT59" s="103">
        <f>COUNTIF(AT18:AT53,"1S")</f>
        <v>10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0.61538461538461542</v>
      </c>
      <c r="D63" s="10">
        <f t="shared" si="46"/>
        <v>0.84615384615384615</v>
      </c>
      <c r="E63" s="10">
        <f t="shared" si="46"/>
        <v>1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0.875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6</v>
      </c>
      <c r="E68" s="4">
        <f>COUNTIF($C$18:$C$53,"C")</f>
        <v>8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0.42857142857142855</v>
      </c>
      <c r="E70" s="10">
        <f>E68/$B$54</f>
        <v>0.5714285714285714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0.375</v>
      </c>
      <c r="E71" s="10">
        <f>AA56</f>
        <v>0.5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0.42857142857142855</v>
      </c>
      <c r="E74" s="10">
        <f>IF($D$7="ja",E70,IF($D7="nee",E72))</f>
        <v>0.5714285714285714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0.375</v>
      </c>
      <c r="E75" s="10">
        <f>IF($D$7="ja",E71,IF($D$7="nee",E73))</f>
        <v>0.5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D53">
    <cfRule type="cellIs" dxfId="347" priority="260" stopIfTrue="1" operator="equal">
      <formula>""</formula>
    </cfRule>
  </conditionalFormatting>
  <conditionalFormatting sqref="D7:D8 C9">
    <cfRule type="cellIs" dxfId="346" priority="242" stopIfTrue="1" operator="equal">
      <formula>"nee"</formula>
    </cfRule>
    <cfRule type="cellIs" dxfId="345" priority="241" stopIfTrue="1" operator="equal">
      <formula>"ja"</formula>
    </cfRule>
  </conditionalFormatting>
  <conditionalFormatting sqref="D18:E53">
    <cfRule type="cellIs" dxfId="344" priority="258" stopIfTrue="1" operator="equal">
      <formula>"x"</formula>
    </cfRule>
  </conditionalFormatting>
  <conditionalFormatting sqref="E18:E53">
    <cfRule type="cellIs" dxfId="343" priority="259" stopIfTrue="1" operator="equal">
      <formula>""</formula>
    </cfRule>
  </conditionalFormatting>
  <conditionalFormatting sqref="F11:F13">
    <cfRule type="expression" dxfId="342" priority="323" stopIfTrue="1">
      <formula>$K$3="ja"</formula>
    </cfRule>
    <cfRule type="expression" dxfId="341" priority="322" stopIfTrue="1">
      <formula>$I$3="ja"</formula>
    </cfRule>
  </conditionalFormatting>
  <conditionalFormatting sqref="F18:F53">
    <cfRule type="cellIs" dxfId="340" priority="120" stopIfTrue="1" operator="greaterThan">
      <formula>""</formula>
    </cfRule>
    <cfRule type="cellIs" dxfId="339" priority="119" stopIfTrue="1" operator="equal">
      <formula>""</formula>
    </cfRule>
  </conditionalFormatting>
  <conditionalFormatting sqref="G11:G13">
    <cfRule type="expression" dxfId="338" priority="324">
      <formula>$J$2="ja"</formula>
    </cfRule>
    <cfRule type="expression" dxfId="337" priority="325" stopIfTrue="1">
      <formula>$I$2="ja"</formula>
    </cfRule>
    <cfRule type="expression" dxfId="336" priority="326" stopIfTrue="1">
      <formula>$K$2="ja"</formula>
    </cfRule>
  </conditionalFormatting>
  <conditionalFormatting sqref="G18:L53">
    <cfRule type="cellIs" dxfId="335" priority="234" stopIfTrue="1" operator="notEqual">
      <formula>$C18</formula>
    </cfRule>
    <cfRule type="cellIs" dxfId="334" priority="233" stopIfTrue="1" operator="lessThanOrEqual">
      <formula>$C18</formula>
    </cfRule>
    <cfRule type="cellIs" dxfId="333" priority="232" stopIfTrue="1" operator="equal">
      <formula>0</formula>
    </cfRule>
  </conditionalFormatting>
  <conditionalFormatting sqref="H11:H13">
    <cfRule type="expression" dxfId="332" priority="206" stopIfTrue="1">
      <formula>$I$3="ja"</formula>
    </cfRule>
  </conditionalFormatting>
  <conditionalFormatting sqref="H11:I13">
    <cfRule type="expression" dxfId="331" priority="313">
      <formula>$L$2="ja"</formula>
    </cfRule>
  </conditionalFormatting>
  <conditionalFormatting sqref="H11:J13">
    <cfRule type="expression" dxfId="330" priority="327">
      <formula>$K$3="ja"</formula>
    </cfRule>
  </conditionalFormatting>
  <conditionalFormatting sqref="I11:I13">
    <cfRule type="expression" dxfId="329" priority="224">
      <formula>$K$2="ja"</formula>
    </cfRule>
    <cfRule type="expression" dxfId="328" priority="222">
      <formula>$J$2="ja"</formula>
    </cfRule>
  </conditionalFormatting>
  <conditionalFormatting sqref="I11:Q13">
    <cfRule type="expression" dxfId="327" priority="103">
      <formula>$I$3="ja"</formula>
    </cfRule>
  </conditionalFormatting>
  <conditionalFormatting sqref="K11:Q13">
    <cfRule type="expression" dxfId="326" priority="106" stopIfTrue="1">
      <formula>$R$2="ja"</formula>
    </cfRule>
    <cfRule type="expression" dxfId="325" priority="105" stopIfTrue="1">
      <formula>$L$2="ja"</formula>
    </cfRule>
    <cfRule type="expression" dxfId="324" priority="102">
      <formula>$J$2="ja"</formula>
    </cfRule>
    <cfRule type="expression" dxfId="323" priority="104" stopIfTrue="1">
      <formula>$K$2="ja"</formula>
    </cfRule>
  </conditionalFormatting>
  <conditionalFormatting sqref="AI18:AI53">
    <cfRule type="cellIs" dxfId="322" priority="255" stopIfTrue="1" operator="notEqual">
      <formula>""</formula>
    </cfRule>
  </conditionalFormatting>
  <conditionalFormatting sqref="AJ11:AK13">
    <cfRule type="cellIs" dxfId="319" priority="89" stopIfTrue="1" operator="lessThan">
      <formula>1</formula>
    </cfRule>
    <cfRule type="cellIs" dxfId="318" priority="88" stopIfTrue="1" operator="equal">
      <formula>1</formula>
    </cfRule>
  </conditionalFormatting>
  <conditionalFormatting sqref="AL18:AM53">
    <cfRule type="expression" dxfId="317" priority="124" stopIfTrue="1">
      <formula>$K$3="ja"</formula>
    </cfRule>
  </conditionalFormatting>
  <conditionalFormatting sqref="AN18:AN53">
    <cfRule type="cellIs" dxfId="316" priority="207" stopIfTrue="1" operator="equal">
      <formula>1</formula>
    </cfRule>
    <cfRule type="cellIs" dxfId="315" priority="208" stopIfTrue="1" operator="equal">
      <formula>""</formula>
    </cfRule>
  </conditionalFormatting>
  <conditionalFormatting sqref="AO18:AO53">
    <cfRule type="cellIs" dxfId="314" priority="209" stopIfTrue="1" operator="equal">
      <formula>1</formula>
    </cfRule>
    <cfRule type="cellIs" dxfId="313" priority="210" stopIfTrue="1" operator="equal">
      <formula>""</formula>
    </cfRule>
  </conditionalFormatting>
  <conditionalFormatting sqref="AR11:AR13">
    <cfRule type="expression" dxfId="307" priority="78" stopIfTrue="1">
      <formula>$I$3="ja"</formula>
    </cfRule>
  </conditionalFormatting>
  <conditionalFormatting sqref="AR11:AS13">
    <cfRule type="expression" dxfId="306" priority="81">
      <formula>$K$3="ja"</formula>
    </cfRule>
    <cfRule type="expression" dxfId="305" priority="80">
      <formula>$L$2="ja"</formula>
    </cfRule>
  </conditionalFormatting>
  <conditionalFormatting sqref="AS11:AS13">
    <cfRule type="expression" dxfId="303" priority="79">
      <formula>$K$2="ja"</formula>
    </cfRule>
  </conditionalFormatting>
  <conditionalFormatting sqref="AS11:AT13">
    <cfRule type="expression" dxfId="302" priority="61">
      <formula>$J$2="ja"</formula>
    </cfRule>
  </conditionalFormatting>
  <conditionalFormatting sqref="AS11:AU13">
    <cfRule type="expression" dxfId="301" priority="62">
      <formula>$I$3="ja"</formula>
    </cfRule>
  </conditionalFormatting>
  <conditionalFormatting sqref="AT11:AT13">
    <cfRule type="expression" dxfId="300" priority="64" stopIfTrue="1">
      <formula>$L$2="ja"</formula>
    </cfRule>
    <cfRule type="expression" dxfId="299" priority="65" stopIfTrue="1">
      <formula>$R$2="ja"</formula>
    </cfRule>
    <cfRule type="expression" dxfId="298" priority="63" stopIfTrue="1">
      <formula>$K$2="ja"</formula>
    </cfRule>
  </conditionalFormatting>
  <conditionalFormatting sqref="AU11:AU13 AX11:AX13">
    <cfRule type="expression" dxfId="297" priority="162" stopIfTrue="1">
      <formula>$K$3="ja"</formula>
    </cfRule>
  </conditionalFormatting>
  <conditionalFormatting sqref="AY18:AZ53">
    <cfRule type="expression" dxfId="295" priority="182" stopIfTrue="1">
      <formula>$K$3="ja"</formula>
    </cfRule>
  </conditionalFormatting>
  <conditionalFormatting sqref="AZ54">
    <cfRule type="expression" dxfId="294" priority="179" stopIfTrue="1">
      <formula>$I$3="ja"</formula>
    </cfRule>
    <cfRule type="expression" dxfId="293" priority="180" stopIfTrue="1">
      <formula>$K$3="ja"</formula>
    </cfRule>
  </conditionalFormatting>
  <conditionalFormatting sqref="B18:B53">
    <cfRule type="cellIs" dxfId="292" priority="54" stopIfTrue="1" operator="equal">
      <formula>""</formula>
    </cfRule>
  </conditionalFormatting>
  <conditionalFormatting sqref="AP18:AP53">
    <cfRule type="cellIs" dxfId="275" priority="35" stopIfTrue="1" operator="equal">
      <formula>"x"</formula>
    </cfRule>
    <cfRule type="expression" dxfId="274" priority="36" stopIfTrue="1">
      <formula>$B18&gt;0</formula>
    </cfRule>
    <cfRule type="cellIs" dxfId="273" priority="37" stopIfTrue="1" operator="equal">
      <formula>""</formula>
    </cfRule>
  </conditionalFormatting>
  <conditionalFormatting sqref="AQ18:AQ54">
    <cfRule type="expression" dxfId="272" priority="34" stopIfTrue="1">
      <formula>$K$3="ja"</formula>
    </cfRule>
  </conditionalFormatting>
  <conditionalFormatting sqref="AQ54">
    <cfRule type="expression" dxfId="271" priority="33" stopIfTrue="1">
      <formula>$I$3="ja"</formula>
    </cfRule>
  </conditionalFormatting>
  <conditionalFormatting sqref="AR54:AX54">
    <cfRule type="expression" dxfId="270" priority="31" stopIfTrue="1">
      <formula>$I$3="ja"</formula>
    </cfRule>
  </conditionalFormatting>
  <conditionalFormatting sqref="AR54:AT54">
    <cfRule type="expression" dxfId="269" priority="30" stopIfTrue="1">
      <formula>$K$3="ja"</formula>
    </cfRule>
  </conditionalFormatting>
  <conditionalFormatting sqref="AU54:AX54">
    <cfRule type="expression" dxfId="268" priority="32" stopIfTrue="1">
      <formula>$K$3="ja"</formula>
    </cfRule>
  </conditionalFormatting>
  <conditionalFormatting sqref="AR18:AS53">
    <cfRule type="cellIs" dxfId="267" priority="18" operator="equal">
      <formula>"2F"</formula>
    </cfRule>
  </conditionalFormatting>
  <conditionalFormatting sqref="AR18:AT53">
    <cfRule type="cellIs" dxfId="266" priority="20" operator="equal">
      <formula>"&lt;1F"</formula>
    </cfRule>
    <cfRule type="cellIs" dxfId="265" priority="21" operator="equal">
      <formula>"1F"</formula>
    </cfRule>
    <cfRule type="expression" dxfId="264" priority="22" stopIfTrue="1">
      <formula>$K$3="ja"</formula>
    </cfRule>
  </conditionalFormatting>
  <conditionalFormatting sqref="AT18:AT53">
    <cfRule type="cellIs" dxfId="263" priority="19" operator="equal">
      <formula>"1S"</formula>
    </cfRule>
  </conditionalFormatting>
  <conditionalFormatting sqref="AU18:AU53">
    <cfRule type="expression" dxfId="262" priority="26">
      <formula>$AV18=""</formula>
    </cfRule>
    <cfRule type="expression" dxfId="261" priority="27">
      <formula>$AV18&lt;$AQ18</formula>
    </cfRule>
    <cfRule type="expression" dxfId="260" priority="28">
      <formula>$AV18&gt;=$AQ18</formula>
    </cfRule>
  </conditionalFormatting>
  <conditionalFormatting sqref="AV18:AW53">
    <cfRule type="expression" dxfId="259" priority="29" stopIfTrue="1">
      <formula>$K$3="ja"</formula>
    </cfRule>
  </conditionalFormatting>
  <conditionalFormatting sqref="AX18:AX53">
    <cfRule type="expression" dxfId="258" priority="23">
      <formula>$AY18=""</formula>
    </cfRule>
    <cfRule type="expression" dxfId="257" priority="24">
      <formula>$AY18&lt;$AV18</formula>
    </cfRule>
    <cfRule type="expression" dxfId="256" priority="25">
      <formula>$AY18&gt;=$AV18</formula>
    </cfRule>
  </conditionalFormatting>
  <conditionalFormatting sqref="AJ18:AJ53">
    <cfRule type="cellIs" dxfId="191" priority="16" stopIfTrue="1" operator="equal">
      <formula>1</formula>
    </cfRule>
    <cfRule type="cellIs" dxfId="190" priority="17" stopIfTrue="1" operator="lessThan">
      <formula>1</formula>
    </cfRule>
  </conditionalFormatting>
  <conditionalFormatting sqref="AK18:AK53">
    <cfRule type="expression" dxfId="19" priority="2">
      <formula>$F18=""</formula>
    </cfRule>
    <cfRule type="expression" dxfId="18" priority="3">
      <formula>$AL18=""</formula>
    </cfRule>
    <cfRule type="expression" dxfId="17" priority="4">
      <formula>$AL18&lt;$AQ18</formula>
    </cfRule>
    <cfRule type="expression" dxfId="16" priority="5">
      <formula>$AL18&gt;=$AQ18</formula>
    </cfRule>
  </conditionalFormatting>
  <conditionalFormatting sqref="AK18:AK54">
    <cfRule type="expression" dxfId="15" priority="1">
      <formula>$B18&gt;0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X18:AX53 AU18:AU53" xr:uid="{0CFCE2F9-320B-46B0-8C11-3138BCE9D31F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A507-190E-4305-A6A6-4345DE0CAF0B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3</v>
      </c>
      <c r="I2" s="277" t="str">
        <f>VLOOKUP($H$2,'groep 6'!A18:B53,2)</f>
        <v>leerling 3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6'!$C$2</f>
        <v>6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6'!B18</f>
        <v>leerling 1</v>
      </c>
    </row>
    <row r="7" spans="1:30" x14ac:dyDescent="0.45">
      <c r="A7" s="213">
        <v>2</v>
      </c>
      <c r="B7" s="212" t="str">
        <f>'groep 6'!B19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6'!B20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6'!B21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6'!B22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6'!B23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6'!B24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6'!B25</f>
        <v>leerling 8</v>
      </c>
      <c r="H13" s="217"/>
      <c r="I13" s="217"/>
      <c r="J13" s="217"/>
      <c r="K13" s="226">
        <f>VLOOKUP($H$2,'groep 6'!$A18:$L53,7)</f>
        <v>0</v>
      </c>
      <c r="L13" s="226">
        <f>VLOOKUP($H$2,'groep 6'!$A18:$L53,8)</f>
        <v>0</v>
      </c>
      <c r="M13" s="226" t="str">
        <f>VLOOKUP($H$2,'groep 6'!$A18:$L53,9)</f>
        <v>C</v>
      </c>
      <c r="N13" s="226">
        <f>VLOOKUP($H$2,'groep 6'!$A18:$L53,10)</f>
        <v>0</v>
      </c>
      <c r="O13" s="226">
        <f>VLOOKUP($H$2,'groep 6'!$A18:$L53,11)</f>
        <v>0</v>
      </c>
      <c r="P13" s="226">
        <f>VLOOKUP($H$2,'groep 6'!$A18:$L53,12)</f>
        <v>0</v>
      </c>
      <c r="Q13" s="226"/>
      <c r="R13" s="226" t="str">
        <f>VLOOKUP($H$2,'groep 6'!$A18:$L53,3)</f>
        <v>C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6'!B26</f>
        <v>leerling 9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>
        <f t="shared" si="0"/>
        <v>3</v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>
        <f>U14/T14</f>
        <v>3</v>
      </c>
      <c r="R14" s="225">
        <f>IF(R13="E",1,IF(R13="D",2,IF(R13="C",3,IF(R13="B",4,IF(R13="A",5,IF(R13=5,1,IF(R13=4,2,IF(R13=3,3,IF(R13=2,4,IF(R13=1,5,IF(R13=0,"")))))))))))</f>
        <v>3</v>
      </c>
      <c r="S14" s="252">
        <f>S13</f>
        <v>2.4299999999999997</v>
      </c>
      <c r="T14" s="256">
        <f>COUNTIF(K14:P14,"&gt;0")</f>
        <v>1</v>
      </c>
      <c r="U14" s="256">
        <f>SUM(K14:P14)</f>
        <v>3</v>
      </c>
    </row>
    <row r="15" spans="1:30" x14ac:dyDescent="0.45">
      <c r="A15" s="213">
        <v>10</v>
      </c>
      <c r="B15" s="212" t="str">
        <f>'groep 6'!B27</f>
        <v>leerling 10</v>
      </c>
    </row>
    <row r="16" spans="1:30" x14ac:dyDescent="0.45">
      <c r="A16" s="213">
        <v>11</v>
      </c>
      <c r="B16" s="212" t="str">
        <f>'groep 6'!B28</f>
        <v>leerling 11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 t="str">
        <f>'groep 6'!B29</f>
        <v>leerling 12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 t="str">
        <f>'groep 6'!B30</f>
        <v>leerling 13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 t="str">
        <f>'groep 6'!B31</f>
        <v>leerling 14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6'!B32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6'!B33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6'!B34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6'!B35</f>
        <v>0</v>
      </c>
    </row>
    <row r="24" spans="1:21" x14ac:dyDescent="0.45">
      <c r="A24" s="213">
        <v>19</v>
      </c>
      <c r="B24" s="212">
        <f>'groep 6'!B36</f>
        <v>0</v>
      </c>
    </row>
    <row r="25" spans="1:21" x14ac:dyDescent="0.45">
      <c r="A25" s="213">
        <v>20</v>
      </c>
      <c r="B25" s="212">
        <f>'groep 6'!B37</f>
        <v>0</v>
      </c>
    </row>
    <row r="26" spans="1:21" x14ac:dyDescent="0.45">
      <c r="A26" s="213">
        <v>21</v>
      </c>
      <c r="B26" s="212">
        <f>'groep 6'!B38</f>
        <v>0</v>
      </c>
    </row>
    <row r="27" spans="1:21" x14ac:dyDescent="0.45">
      <c r="A27" s="213">
        <v>22</v>
      </c>
      <c r="B27" s="212">
        <f>'groep 6'!B39</f>
        <v>0</v>
      </c>
    </row>
    <row r="28" spans="1:21" ht="15.75" customHeight="1" x14ac:dyDescent="0.45">
      <c r="A28" s="213">
        <v>23</v>
      </c>
      <c r="B28" s="212">
        <f>'groep 6'!B40</f>
        <v>0</v>
      </c>
    </row>
    <row r="29" spans="1:21" x14ac:dyDescent="0.45">
      <c r="A29" s="213">
        <v>24</v>
      </c>
      <c r="B29" s="212">
        <f>'groep 6'!B41</f>
        <v>0</v>
      </c>
    </row>
    <row r="30" spans="1:21" x14ac:dyDescent="0.45">
      <c r="A30" s="213">
        <v>25</v>
      </c>
      <c r="B30" s="212">
        <f>'groep 6'!B42</f>
        <v>0</v>
      </c>
    </row>
    <row r="31" spans="1:21" x14ac:dyDescent="0.45">
      <c r="A31" s="213">
        <v>26</v>
      </c>
      <c r="B31" s="212">
        <f>'groep 6'!B43</f>
        <v>0</v>
      </c>
    </row>
    <row r="32" spans="1:21" x14ac:dyDescent="0.45">
      <c r="A32" s="213">
        <v>27</v>
      </c>
      <c r="B32" s="212">
        <f>'groep 6'!B44</f>
        <v>0</v>
      </c>
    </row>
    <row r="33" spans="1:7" x14ac:dyDescent="0.45">
      <c r="A33" s="213">
        <v>28</v>
      </c>
      <c r="B33" s="212">
        <f>'groep 6'!B45</f>
        <v>0</v>
      </c>
    </row>
    <row r="34" spans="1:7" x14ac:dyDescent="0.45">
      <c r="A34" s="213">
        <v>29</v>
      </c>
      <c r="B34" s="212">
        <f>'groep 6'!B46</f>
        <v>0</v>
      </c>
    </row>
    <row r="35" spans="1:7" x14ac:dyDescent="0.45">
      <c r="A35" s="213">
        <v>30</v>
      </c>
      <c r="B35" s="212">
        <f>'groep 6'!B47</f>
        <v>0</v>
      </c>
    </row>
    <row r="36" spans="1:7" x14ac:dyDescent="0.45">
      <c r="A36" s="213">
        <v>31</v>
      </c>
      <c r="B36" s="212">
        <f>'groep 6'!B48</f>
        <v>0</v>
      </c>
    </row>
    <row r="37" spans="1:7" x14ac:dyDescent="0.45">
      <c r="A37" s="213">
        <v>32</v>
      </c>
      <c r="B37" s="212">
        <f>'groep 6'!B49</f>
        <v>0</v>
      </c>
    </row>
    <row r="38" spans="1:7" x14ac:dyDescent="0.45">
      <c r="A38" s="213">
        <v>33</v>
      </c>
      <c r="B38" s="212">
        <f>'groep 6'!B50</f>
        <v>0</v>
      </c>
    </row>
    <row r="39" spans="1:7" x14ac:dyDescent="0.45">
      <c r="A39" s="213">
        <v>34</v>
      </c>
      <c r="B39" s="212">
        <f>'groep 6'!B51</f>
        <v>0</v>
      </c>
    </row>
    <row r="40" spans="1:7" x14ac:dyDescent="0.45">
      <c r="A40" s="213">
        <v>35</v>
      </c>
      <c r="B40" s="212">
        <f>'groep 6'!B52</f>
        <v>0</v>
      </c>
    </row>
    <row r="41" spans="1:7" x14ac:dyDescent="0.45">
      <c r="A41" s="213">
        <v>36</v>
      </c>
      <c r="B41" s="212">
        <f>'groep 6'!B53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10.777343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7</v>
      </c>
      <c r="D2" s="76"/>
      <c r="E2" s="13"/>
      <c r="F2" s="193"/>
      <c r="G2" s="193"/>
      <c r="H2" s="75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5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  <c r="AN2" s="80"/>
      <c r="AO2" s="80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75"/>
      <c r="I3" s="77" t="str">
        <f>IF($C$2=7,"ja",IF($C$2="7A","ja",IF($C$2="7B","ja",IF($C$2="7C","ja"))))</f>
        <v>ja</v>
      </c>
      <c r="J3" s="77"/>
      <c r="K3" s="77" t="b">
        <f>IF($C$2=8,"ja",IF($C$2="8A","ja",IF($C$2="8B","ja",IF($C$2="8C","ja"))))</f>
        <v>0</v>
      </c>
      <c r="L3" s="7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  <c r="AN3" s="80"/>
      <c r="AO3" s="80"/>
    </row>
    <row r="4" spans="1:52" ht="19.8" x14ac:dyDescent="0.45">
      <c r="B4" s="1"/>
      <c r="C4" s="52"/>
      <c r="D4" s="52"/>
      <c r="E4" s="13"/>
      <c r="F4" s="3"/>
      <c r="G4" s="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 t="s">
        <v>162</v>
      </c>
      <c r="C18" s="200" t="s">
        <v>16</v>
      </c>
      <c r="D18" s="159"/>
      <c r="E18" s="159"/>
      <c r="F18" s="160"/>
      <c r="G18" s="161"/>
      <c r="H18" s="204" t="s">
        <v>17</v>
      </c>
      <c r="I18" s="204" t="s">
        <v>15</v>
      </c>
      <c r="J18" s="157"/>
      <c r="K18" s="157"/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3</v>
      </c>
      <c r="P18" s="164">
        <f t="shared" ref="P18:P53" si="1">IF(I18="E",1,IF(I18="D",2,IF(I18="C",3,IF(I18="B",4,IF(I18="A",5,IF(I18=5,1,IF(I18=4,2,IF(I18=3,3,IF(I18=2,4,IF(I18=1,5,IF(I18="","")))))))))))</f>
        <v>5</v>
      </c>
      <c r="Q18" s="164">
        <f>IF(M18&lt;3,2,IF($C$2&lt;6,0,IF($C$2&gt;=6,SUM(N18:P18))))</f>
        <v>12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2</v>
      </c>
      <c r="Y18" s="165" t="b">
        <f t="shared" ref="Y18:Y53" si="8">IF($C18="A",$AJ18)</f>
        <v>0</v>
      </c>
      <c r="Z18" s="165">
        <f t="shared" ref="Z18:Z53" si="9">IF($C18="B",$AJ18)</f>
        <v>0.66666666666666663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3</v>
      </c>
      <c r="AJ18" s="167">
        <f t="shared" ref="AJ18:AJ53" si="14">IF(AI18=0,"",IF(AI18="","",IF(AI18&gt;0,X18/AI18)))</f>
        <v>0.66666666666666663</v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TL/Havo</v>
      </c>
      <c r="AL18" s="168">
        <f>IF(AK18="","",IF(AK18="PRO",1,IF(AK18="LWOO",2,IF(AK18="BBL",3,IF(AK18="BBL/Kader",4,IF(AK18="Kader",5,IF(AK18="Kader/TL",6,IF(AK18="TL",7,IF(AK18="TL/Havo",8,IF(AK18="Havo",9,IF(AK18="Havo/VWO",10,IF(AK18="VWO",11))))))))))))</f>
        <v>8</v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>1F</v>
      </c>
      <c r="AS18" s="351" t="str">
        <f>IF($C$2&lt;6,"",IF($M18&lt;3,"",IF(P18=1,"&lt;1F",IF(P18&gt;3,"2F",IF(P18&gt;1,"1F")))))</f>
        <v>2F</v>
      </c>
      <c r="AT18" s="351" t="str">
        <f>IF($C$2&lt;6,"",IF($M18&lt;3,"",IF(N18&lt;=2,"&lt;1F",IF(N18&gt;3,"1S",IF(N18&gt;2,"1F")))))</f>
        <v>1S</v>
      </c>
      <c r="AU18" s="350"/>
      <c r="AV18" s="351"/>
      <c r="AW18" s="351"/>
      <c r="AX18" s="350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 t="s">
        <v>169</v>
      </c>
      <c r="C19" s="200" t="s">
        <v>18</v>
      </c>
      <c r="D19" s="138"/>
      <c r="E19" s="138"/>
      <c r="F19" s="160"/>
      <c r="G19" s="161"/>
      <c r="H19" s="204" t="s">
        <v>18</v>
      </c>
      <c r="I19" s="204" t="s">
        <v>17</v>
      </c>
      <c r="J19" s="157"/>
      <c r="K19" s="157"/>
      <c r="L19" s="203" t="s">
        <v>17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3</v>
      </c>
      <c r="O19" s="164">
        <f t="shared" si="0"/>
        <v>2</v>
      </c>
      <c r="P19" s="164">
        <f t="shared" si="1"/>
        <v>3</v>
      </c>
      <c r="Q19" s="164">
        <f t="shared" ref="Q19:Q53" si="18">IF($C$2&lt;6,0,IF($C$2&gt;=6,SUM(N19:P19)))</f>
        <v>8</v>
      </c>
      <c r="R19" s="104" t="str">
        <f t="shared" si="2"/>
        <v/>
      </c>
      <c r="S19" s="104">
        <f t="shared" si="3"/>
        <v>1</v>
      </c>
      <c r="T19" s="104">
        <f t="shared" si="4"/>
        <v>1</v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>
        <f t="shared" si="6"/>
        <v>1</v>
      </c>
      <c r="X19" s="104">
        <f t="shared" si="7"/>
        <v>3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>
        <f t="shared" si="11"/>
        <v>1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3</v>
      </c>
      <c r="AJ19" s="171">
        <f t="shared" si="14"/>
        <v>1</v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68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>4</v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>1F</v>
      </c>
      <c r="AS19" s="351" t="str">
        <f t="shared" ref="AS19:AS53" si="32">IF($C$2&lt;6,"",IF($M19&lt;3,"",IF(P19=1,"&lt;1F",IF(P19&gt;3,"2F",IF(P19&gt;1,"1F")))))</f>
        <v>1F</v>
      </c>
      <c r="AT19" s="351" t="str">
        <f t="shared" ref="AT19:AT53" si="33">IF($C$2&lt;6,"",IF($M19&lt;3,"",IF(N19&lt;=2,"&lt;1F",IF(N19&gt;3,"1S",IF(N19&gt;2,"1F")))))</f>
        <v>1F</v>
      </c>
      <c r="AU19" s="350"/>
      <c r="AV19" s="351"/>
      <c r="AW19" s="351"/>
      <c r="AX19" s="350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 t="s">
        <v>170</v>
      </c>
      <c r="C20" s="200" t="s">
        <v>18</v>
      </c>
      <c r="D20" s="138"/>
      <c r="E20" s="139"/>
      <c r="F20" s="160"/>
      <c r="G20" s="161"/>
      <c r="H20" s="157"/>
      <c r="I20" s="204" t="s">
        <v>19</v>
      </c>
      <c r="J20" s="157"/>
      <c r="K20" s="157"/>
      <c r="L20" s="203" t="s">
        <v>15</v>
      </c>
      <c r="M20" s="163">
        <f t="shared" si="16"/>
        <v>2</v>
      </c>
      <c r="N20" s="164">
        <f t="shared" si="17"/>
        <v>5</v>
      </c>
      <c r="O20" s="164" t="str">
        <f t="shared" si="0"/>
        <v/>
      </c>
      <c r="P20" s="164">
        <f t="shared" si="1"/>
        <v>1</v>
      </c>
      <c r="Q20" s="164">
        <f t="shared" si="18"/>
        <v>6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1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>
        <f t="shared" si="11"/>
        <v>0.5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2</v>
      </c>
      <c r="AJ20" s="171">
        <f t="shared" si="14"/>
        <v>0.5</v>
      </c>
      <c r="AK20" s="348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/>
      </c>
      <c r="AS20" s="351" t="str">
        <f t="shared" si="32"/>
        <v/>
      </c>
      <c r="AT20" s="351" t="str">
        <f t="shared" si="33"/>
        <v/>
      </c>
      <c r="AU20" s="350"/>
      <c r="AV20" s="351"/>
      <c r="AW20" s="351"/>
      <c r="AX20" s="350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 t="s">
        <v>171</v>
      </c>
      <c r="C21" s="200" t="s">
        <v>17</v>
      </c>
      <c r="D21" s="139"/>
      <c r="E21" s="139"/>
      <c r="F21" s="160"/>
      <c r="G21" s="161"/>
      <c r="H21" s="204" t="s">
        <v>15</v>
      </c>
      <c r="I21" s="204" t="s">
        <v>15</v>
      </c>
      <c r="J21" s="172"/>
      <c r="K21" s="157"/>
      <c r="L21" s="203" t="s">
        <v>16</v>
      </c>
      <c r="M21" s="163">
        <f t="shared" si="16"/>
        <v>3</v>
      </c>
      <c r="N21" s="164">
        <f t="shared" si="17"/>
        <v>4</v>
      </c>
      <c r="O21" s="164">
        <f t="shared" si="0"/>
        <v>5</v>
      </c>
      <c r="P21" s="164">
        <f t="shared" si="1"/>
        <v>5</v>
      </c>
      <c r="Q21" s="164">
        <f t="shared" si="18"/>
        <v>14</v>
      </c>
      <c r="R21" s="104" t="str">
        <f t="shared" si="2"/>
        <v/>
      </c>
      <c r="S21" s="104">
        <f t="shared" si="3"/>
        <v>1</v>
      </c>
      <c r="T21" s="104">
        <f t="shared" si="4"/>
        <v>1</v>
      </c>
      <c r="U21" s="104" t="str">
        <f t="shared" si="19"/>
        <v/>
      </c>
      <c r="V21" s="104" t="str">
        <f t="shared" si="5"/>
        <v/>
      </c>
      <c r="W21" s="104">
        <f t="shared" si="6"/>
        <v>1</v>
      </c>
      <c r="X21" s="104">
        <f t="shared" si="7"/>
        <v>3</v>
      </c>
      <c r="Y21" s="165" t="b">
        <f t="shared" si="8"/>
        <v>0</v>
      </c>
      <c r="Z21" s="165" t="b">
        <f t="shared" si="9"/>
        <v>0</v>
      </c>
      <c r="AA21" s="165">
        <f t="shared" si="10"/>
        <v>1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3</v>
      </c>
      <c r="AJ21" s="171">
        <f t="shared" si="14"/>
        <v>1</v>
      </c>
      <c r="AK21" s="348" t="str">
        <f t="shared" si="25"/>
        <v>Havo/Vwo</v>
      </c>
      <c r="AL21" s="168">
        <f t="shared" si="26"/>
        <v>10</v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>2F</v>
      </c>
      <c r="AS21" s="351" t="str">
        <f t="shared" si="32"/>
        <v>2F</v>
      </c>
      <c r="AT21" s="351" t="str">
        <f t="shared" si="33"/>
        <v>1S</v>
      </c>
      <c r="AU21" s="350"/>
      <c r="AV21" s="351"/>
      <c r="AW21" s="351"/>
      <c r="AX21" s="350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 t="s">
        <v>172</v>
      </c>
      <c r="C22" s="200" t="s">
        <v>17</v>
      </c>
      <c r="D22" s="139"/>
      <c r="E22" s="139"/>
      <c r="F22" s="160"/>
      <c r="G22" s="161"/>
      <c r="H22" s="204" t="s">
        <v>18</v>
      </c>
      <c r="I22" s="204" t="s">
        <v>16</v>
      </c>
      <c r="J22" s="172"/>
      <c r="K22" s="157"/>
      <c r="L22" s="203" t="s">
        <v>16</v>
      </c>
      <c r="M22" s="163">
        <f t="shared" si="16"/>
        <v>3</v>
      </c>
      <c r="N22" s="164">
        <f t="shared" si="17"/>
        <v>4</v>
      </c>
      <c r="O22" s="164">
        <f t="shared" si="0"/>
        <v>2</v>
      </c>
      <c r="P22" s="164">
        <f t="shared" si="1"/>
        <v>4</v>
      </c>
      <c r="Q22" s="164">
        <f t="shared" si="18"/>
        <v>10</v>
      </c>
      <c r="R22" s="104" t="str">
        <f t="shared" si="2"/>
        <v/>
      </c>
      <c r="S22" s="104" t="str">
        <f t="shared" si="3"/>
        <v/>
      </c>
      <c r="T22" s="104">
        <f t="shared" si="4"/>
        <v>1</v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2</v>
      </c>
      <c r="Y22" s="165" t="b">
        <f t="shared" si="8"/>
        <v>0</v>
      </c>
      <c r="Z22" s="165" t="b">
        <f t="shared" si="9"/>
        <v>0</v>
      </c>
      <c r="AA22" s="165">
        <f t="shared" si="10"/>
        <v>0.66666666666666663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3</v>
      </c>
      <c r="AJ22" s="171">
        <f t="shared" si="14"/>
        <v>0.66666666666666663</v>
      </c>
      <c r="AK22" s="348" t="str">
        <f t="shared" si="25"/>
        <v>Kader/TL</v>
      </c>
      <c r="AL22" s="168">
        <f t="shared" si="26"/>
        <v>6</v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>1F</v>
      </c>
      <c r="AS22" s="351" t="str">
        <f t="shared" si="32"/>
        <v>2F</v>
      </c>
      <c r="AT22" s="351" t="str">
        <f t="shared" si="33"/>
        <v>1S</v>
      </c>
      <c r="AU22" s="350"/>
      <c r="AV22" s="351"/>
      <c r="AW22" s="351"/>
      <c r="AX22" s="350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 t="s">
        <v>173</v>
      </c>
      <c r="C23" s="200" t="s">
        <v>18</v>
      </c>
      <c r="D23" s="139"/>
      <c r="E23" s="139"/>
      <c r="F23" s="160"/>
      <c r="G23" s="161"/>
      <c r="H23" s="204" t="s">
        <v>18</v>
      </c>
      <c r="I23" s="204" t="s">
        <v>16</v>
      </c>
      <c r="J23" s="157"/>
      <c r="K23" s="157"/>
      <c r="L23" s="203" t="s">
        <v>18</v>
      </c>
      <c r="M23" s="163">
        <f t="shared" si="16"/>
        <v>3</v>
      </c>
      <c r="N23" s="164">
        <f t="shared" si="17"/>
        <v>2</v>
      </c>
      <c r="O23" s="164">
        <f t="shared" si="0"/>
        <v>2</v>
      </c>
      <c r="P23" s="164">
        <f t="shared" si="1"/>
        <v>4</v>
      </c>
      <c r="Q23" s="164">
        <f t="shared" si="18"/>
        <v>8</v>
      </c>
      <c r="R23" s="104" t="str">
        <f t="shared" si="2"/>
        <v/>
      </c>
      <c r="S23" s="104">
        <f t="shared" si="3"/>
        <v>1</v>
      </c>
      <c r="T23" s="104">
        <f t="shared" si="4"/>
        <v>1</v>
      </c>
      <c r="U23" s="104" t="str">
        <f t="shared" si="19"/>
        <v/>
      </c>
      <c r="V23" s="104" t="str">
        <f t="shared" si="5"/>
        <v/>
      </c>
      <c r="W23" s="104">
        <f t="shared" si="6"/>
        <v>1</v>
      </c>
      <c r="X23" s="104">
        <f t="shared" si="7"/>
        <v>3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>
        <f t="shared" si="11"/>
        <v>1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3</v>
      </c>
      <c r="AJ23" s="171">
        <f t="shared" si="14"/>
        <v>1</v>
      </c>
      <c r="AK23" s="348" t="str">
        <f t="shared" si="25"/>
        <v>BBL/Kader</v>
      </c>
      <c r="AL23" s="168">
        <f>IF(AK23="","",IF(AK23="PRO",1,IF(AK23="PRO/BBL",2,IF(AK23="BBL",3,IF(AK23="BBL/Kader",4,IF(AK23="Kader",5,IF(AK23="Kader/TL",6,IF(AK23="TL",7,IF(AK23="TL/Havo",8,IF(AK23="Havo",9,IF(AK23="Havo/VWO",10,IF(AK23="VWO",11))))))))))))</f>
        <v>4</v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>1F</v>
      </c>
      <c r="AS23" s="351" t="str">
        <f t="shared" si="32"/>
        <v>2F</v>
      </c>
      <c r="AT23" s="351" t="str">
        <f t="shared" si="33"/>
        <v>&lt;1F</v>
      </c>
      <c r="AU23" s="350"/>
      <c r="AV23" s="351"/>
      <c r="AW23" s="351"/>
      <c r="AX23" s="350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 t="s">
        <v>174</v>
      </c>
      <c r="C24" s="200" t="s">
        <v>17</v>
      </c>
      <c r="D24" s="138"/>
      <c r="E24" s="138"/>
      <c r="F24" s="160"/>
      <c r="G24" s="161"/>
      <c r="H24" s="172"/>
      <c r="I24" s="204" t="s">
        <v>18</v>
      </c>
      <c r="J24" s="172"/>
      <c r="K24" s="157"/>
      <c r="L24" s="203" t="s">
        <v>15</v>
      </c>
      <c r="M24" s="163">
        <f t="shared" si="16"/>
        <v>2</v>
      </c>
      <c r="N24" s="164">
        <f t="shared" si="17"/>
        <v>5</v>
      </c>
      <c r="O24" s="164" t="str">
        <f t="shared" si="0"/>
        <v/>
      </c>
      <c r="P24" s="164">
        <f t="shared" si="1"/>
        <v>2</v>
      </c>
      <c r="Q24" s="164">
        <f t="shared" si="18"/>
        <v>7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1</v>
      </c>
      <c r="Y24" s="165" t="b">
        <f t="shared" si="8"/>
        <v>0</v>
      </c>
      <c r="Z24" s="165" t="b">
        <f t="shared" si="9"/>
        <v>0</v>
      </c>
      <c r="AA24" s="165">
        <f t="shared" si="10"/>
        <v>0.5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2</v>
      </c>
      <c r="AJ24" s="171">
        <f t="shared" si="14"/>
        <v>0.5</v>
      </c>
      <c r="AK24" s="348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/>
      </c>
      <c r="AS24" s="351" t="str">
        <f t="shared" si="32"/>
        <v/>
      </c>
      <c r="AT24" s="351" t="str">
        <f t="shared" si="33"/>
        <v/>
      </c>
      <c r="AU24" s="350"/>
      <c r="AV24" s="351"/>
      <c r="AW24" s="351"/>
      <c r="AX24" s="350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 t="s">
        <v>175</v>
      </c>
      <c r="C25" s="200" t="s">
        <v>15</v>
      </c>
      <c r="D25" s="139"/>
      <c r="E25" s="139"/>
      <c r="F25" s="160"/>
      <c r="G25" s="173"/>
      <c r="H25" s="204" t="s">
        <v>16</v>
      </c>
      <c r="I25" s="204" t="s">
        <v>15</v>
      </c>
      <c r="J25" s="172"/>
      <c r="K25" s="172"/>
      <c r="L25" s="203" t="s">
        <v>15</v>
      </c>
      <c r="M25" s="163">
        <f t="shared" si="16"/>
        <v>3</v>
      </c>
      <c r="N25" s="164">
        <f t="shared" si="17"/>
        <v>5</v>
      </c>
      <c r="O25" s="164">
        <f t="shared" si="0"/>
        <v>4</v>
      </c>
      <c r="P25" s="164">
        <f t="shared" si="1"/>
        <v>5</v>
      </c>
      <c r="Q25" s="164">
        <f t="shared" si="18"/>
        <v>14</v>
      </c>
      <c r="R25" s="104" t="str">
        <f t="shared" si="2"/>
        <v/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>
        <f t="shared" si="6"/>
        <v>1</v>
      </c>
      <c r="X25" s="104">
        <f t="shared" si="7"/>
        <v>2</v>
      </c>
      <c r="Y25" s="165">
        <f t="shared" si="8"/>
        <v>0.66666666666666663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3</v>
      </c>
      <c r="AJ25" s="171">
        <f t="shared" si="14"/>
        <v>0.66666666666666663</v>
      </c>
      <c r="AK25" s="348" t="str">
        <f t="shared" si="25"/>
        <v>Havo/Vwo</v>
      </c>
      <c r="AL25" s="168">
        <f t="shared" si="26"/>
        <v>10</v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>2F</v>
      </c>
      <c r="AS25" s="351" t="str">
        <f t="shared" si="32"/>
        <v>2F</v>
      </c>
      <c r="AT25" s="351" t="str">
        <f t="shared" si="33"/>
        <v>1S</v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 t="s">
        <v>163</v>
      </c>
      <c r="C26" s="200" t="s">
        <v>15</v>
      </c>
      <c r="D26" s="139"/>
      <c r="E26" s="139"/>
      <c r="F26" s="160"/>
      <c r="G26" s="173"/>
      <c r="H26" s="172" t="s">
        <v>15</v>
      </c>
      <c r="I26" s="172" t="s">
        <v>15</v>
      </c>
      <c r="J26" s="172"/>
      <c r="K26" s="172"/>
      <c r="L26" s="174" t="s">
        <v>15</v>
      </c>
      <c r="M26" s="163">
        <f t="shared" si="16"/>
        <v>3</v>
      </c>
      <c r="N26" s="164">
        <f t="shared" si="17"/>
        <v>5</v>
      </c>
      <c r="O26" s="164">
        <f t="shared" si="0"/>
        <v>5</v>
      </c>
      <c r="P26" s="164">
        <f t="shared" si="1"/>
        <v>5</v>
      </c>
      <c r="Q26" s="164">
        <f t="shared" si="18"/>
        <v>15</v>
      </c>
      <c r="R26" s="104" t="str">
        <f t="shared" si="2"/>
        <v/>
      </c>
      <c r="S26" s="104">
        <f t="shared" si="3"/>
        <v>1</v>
      </c>
      <c r="T26" s="104">
        <f t="shared" si="4"/>
        <v>1</v>
      </c>
      <c r="U26" s="104" t="str">
        <f t="shared" si="19"/>
        <v/>
      </c>
      <c r="V26" s="104" t="str">
        <f t="shared" si="5"/>
        <v/>
      </c>
      <c r="W26" s="104">
        <f t="shared" si="6"/>
        <v>1</v>
      </c>
      <c r="X26" s="104">
        <f t="shared" si="7"/>
        <v>3</v>
      </c>
      <c r="Y26" s="165">
        <f t="shared" si="8"/>
        <v>1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3</v>
      </c>
      <c r="AJ26" s="171">
        <f t="shared" si="14"/>
        <v>1</v>
      </c>
      <c r="AK26" s="348" t="str">
        <f t="shared" si="25"/>
        <v>Vwo</v>
      </c>
      <c r="AL26" s="168">
        <f t="shared" si="26"/>
        <v>11</v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>2F</v>
      </c>
      <c r="AS26" s="351" t="str">
        <f t="shared" si="32"/>
        <v>2F</v>
      </c>
      <c r="AT26" s="351" t="str">
        <f t="shared" si="33"/>
        <v>1S</v>
      </c>
      <c r="AU26" s="350"/>
      <c r="AV26" s="351" t="str">
        <f t="shared" si="35"/>
        <v/>
      </c>
      <c r="AW26" s="351">
        <f t="shared" si="36"/>
        <v>0</v>
      </c>
      <c r="AX26" s="350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 t="s">
        <v>164</v>
      </c>
      <c r="C27" s="200" t="s">
        <v>16</v>
      </c>
      <c r="D27" s="139"/>
      <c r="E27" s="139"/>
      <c r="F27" s="160"/>
      <c r="G27" s="173"/>
      <c r="H27" s="172" t="s">
        <v>15</v>
      </c>
      <c r="I27" s="172" t="s">
        <v>16</v>
      </c>
      <c r="J27" s="172"/>
      <c r="K27" s="172"/>
      <c r="L27" s="174" t="s">
        <v>16</v>
      </c>
      <c r="M27" s="163">
        <f t="shared" si="16"/>
        <v>3</v>
      </c>
      <c r="N27" s="164">
        <f t="shared" si="17"/>
        <v>4</v>
      </c>
      <c r="O27" s="164">
        <f t="shared" si="0"/>
        <v>5</v>
      </c>
      <c r="P27" s="164">
        <f t="shared" si="1"/>
        <v>4</v>
      </c>
      <c r="Q27" s="164">
        <f t="shared" si="18"/>
        <v>13</v>
      </c>
      <c r="R27" s="104" t="str">
        <f t="shared" si="2"/>
        <v/>
      </c>
      <c r="S27" s="104">
        <f t="shared" si="3"/>
        <v>1</v>
      </c>
      <c r="T27" s="104">
        <f t="shared" si="4"/>
        <v>1</v>
      </c>
      <c r="U27" s="104" t="str">
        <f t="shared" si="19"/>
        <v/>
      </c>
      <c r="V27" s="104" t="str">
        <f t="shared" si="5"/>
        <v/>
      </c>
      <c r="W27" s="104">
        <f t="shared" si="6"/>
        <v>1</v>
      </c>
      <c r="X27" s="104">
        <f t="shared" si="7"/>
        <v>3</v>
      </c>
      <c r="Y27" s="165" t="b">
        <f t="shared" si="8"/>
        <v>0</v>
      </c>
      <c r="Z27" s="165">
        <f t="shared" si="9"/>
        <v>1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3</v>
      </c>
      <c r="AJ27" s="171">
        <f t="shared" si="14"/>
        <v>1</v>
      </c>
      <c r="AK27" s="348" t="str">
        <f t="shared" si="25"/>
        <v>Havo</v>
      </c>
      <c r="AL27" s="168">
        <f t="shared" si="26"/>
        <v>9</v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>2F</v>
      </c>
      <c r="AS27" s="351" t="str">
        <f t="shared" si="32"/>
        <v>2F</v>
      </c>
      <c r="AT27" s="351" t="str">
        <f t="shared" si="33"/>
        <v>1S</v>
      </c>
      <c r="AU27" s="350"/>
      <c r="AV27" s="351" t="str">
        <f t="shared" si="35"/>
        <v/>
      </c>
      <c r="AW27" s="351">
        <f t="shared" si="36"/>
        <v>0</v>
      </c>
      <c r="AX27" s="350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348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/>
      </c>
      <c r="AS28" s="351" t="str">
        <f t="shared" si="32"/>
        <v/>
      </c>
      <c r="AT28" s="351" t="str">
        <f t="shared" si="33"/>
        <v/>
      </c>
      <c r="AU28" s="350"/>
      <c r="AV28" s="351" t="str">
        <f t="shared" si="35"/>
        <v/>
      </c>
      <c r="AW28" s="351">
        <f t="shared" si="36"/>
        <v>0</v>
      </c>
      <c r="AX28" s="350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200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200"/>
      <c r="D33" s="139"/>
      <c r="E33" s="139"/>
      <c r="F33" s="160"/>
      <c r="G33" s="173"/>
      <c r="H33" s="172"/>
      <c r="I33" s="172"/>
      <c r="J33" s="172"/>
      <c r="K33" s="172"/>
      <c r="L33" s="203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200"/>
      <c r="D34" s="139"/>
      <c r="E34" s="139"/>
      <c r="F34" s="160"/>
      <c r="G34" s="173"/>
      <c r="H34" s="172"/>
      <c r="I34" s="172"/>
      <c r="J34" s="172"/>
      <c r="K34" s="172"/>
      <c r="L34" s="203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200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>
        <f t="shared" si="37"/>
        <v>0.625</v>
      </c>
      <c r="I54" s="180">
        <f t="shared" si="37"/>
        <v>0.8</v>
      </c>
      <c r="J54" s="180" t="str">
        <f t="shared" si="37"/>
        <v/>
      </c>
      <c r="K54" s="180" t="str">
        <f t="shared" si="37"/>
        <v/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5</v>
      </c>
      <c r="T54" s="181">
        <f t="shared" si="38"/>
        <v>8</v>
      </c>
      <c r="U54" s="181">
        <f t="shared" si="38"/>
        <v>0</v>
      </c>
      <c r="V54" s="181">
        <f t="shared" si="38"/>
        <v>0</v>
      </c>
      <c r="W54" s="181">
        <f t="shared" si="38"/>
        <v>10</v>
      </c>
      <c r="X54" s="182">
        <f>SUM(AJ18:AJ53)</f>
        <v>8</v>
      </c>
      <c r="Y54" s="182">
        <f t="shared" ref="Y54:AH54" si="39">SUM(Y18:Y53)</f>
        <v>1.6666666666666665</v>
      </c>
      <c r="Z54" s="182">
        <f t="shared" si="39"/>
        <v>1.6666666666666665</v>
      </c>
      <c r="AA54" s="182">
        <f t="shared" si="39"/>
        <v>2.1666666666666665</v>
      </c>
      <c r="AB54" s="182">
        <f t="shared" si="39"/>
        <v>2.5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>
        <f>IF(X57=0,"",IF(X57&gt;0,$X$55))</f>
        <v>0.8</v>
      </c>
      <c r="AK54" s="352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>
        <f t="shared" si="40"/>
        <v>0.625</v>
      </c>
      <c r="T55" s="189">
        <f t="shared" si="40"/>
        <v>0.8</v>
      </c>
      <c r="U55" s="189" t="e">
        <f t="shared" si="40"/>
        <v>#DIV/0!</v>
      </c>
      <c r="V55" s="189" t="e">
        <f t="shared" si="40"/>
        <v>#DIV/0!</v>
      </c>
      <c r="W55" s="189">
        <f t="shared" si="40"/>
        <v>1</v>
      </c>
      <c r="X55" s="189">
        <f>X54/X57</f>
        <v>0.8</v>
      </c>
      <c r="Y55" s="165">
        <f>Y54/10</f>
        <v>0.16666666666666666</v>
      </c>
      <c r="Z55" s="165">
        <f t="shared" ref="Z55:AH55" si="41">Z54/10</f>
        <v>0.16666666666666666</v>
      </c>
      <c r="AA55" s="165">
        <f t="shared" si="41"/>
        <v>0.21666666666666665</v>
      </c>
      <c r="AB55" s="165">
        <f t="shared" si="41"/>
        <v>0.25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1</v>
      </c>
      <c r="AS55" s="129">
        <f>IF($C$2&lt;6,"",IF($C$2&gt;=6,(AS58+AS59)/AS57))</f>
        <v>1</v>
      </c>
      <c r="AT55" s="129">
        <f>IF($C$2&lt;6,"",IF($C$2&gt;=6,(AT58+AT59)/AT57))</f>
        <v>0.875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8</v>
      </c>
      <c r="T56" s="3">
        <f t="shared" si="42"/>
        <v>10</v>
      </c>
      <c r="U56" s="3">
        <f t="shared" si="42"/>
        <v>0</v>
      </c>
      <c r="V56" s="3">
        <f t="shared" si="42"/>
        <v>0</v>
      </c>
      <c r="W56" s="3">
        <f t="shared" si="42"/>
        <v>10</v>
      </c>
      <c r="X56" s="3">
        <f>COUNTIF(AJ18:AJ53,"")</f>
        <v>26</v>
      </c>
      <c r="Y56" s="10">
        <f>Y54/C68*C70</f>
        <v>0.16666666666666666</v>
      </c>
      <c r="Z56" s="10">
        <f>Z54/D68*D70</f>
        <v>0.16666666666666666</v>
      </c>
      <c r="AA56" s="10">
        <f>AA54/E68*E70</f>
        <v>0.21666666666666665</v>
      </c>
      <c r="AB56" s="10">
        <f>AB54/F68*F70</f>
        <v>0.25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129">
        <f>IF($C$2&lt;6,"",IF($C$2&gt;=6,(AR59/AR57)))</f>
        <v>0.5</v>
      </c>
      <c r="AS56" s="129">
        <f>IF($C$2&lt;6,"",IF($C$2&gt;=6,(AS59/AS57)))</f>
        <v>0.875</v>
      </c>
      <c r="AT56" s="129">
        <f>IF($C$2&lt;6,"",IF($C$2&gt;=6,(AT59/AT57)))</f>
        <v>0.75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7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7">
        <f t="shared" ref="AR57:AS57" si="43">COUNTIF(AR18:AR53,"&gt;""")</f>
        <v>8</v>
      </c>
      <c r="AS57" s="77">
        <f t="shared" si="43"/>
        <v>8</v>
      </c>
      <c r="AT57" s="77">
        <f>COUNTIF(AT18:AT53,"&gt;""")</f>
        <v>8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4</v>
      </c>
      <c r="AS58" s="103">
        <f t="shared" ref="AS58:AT58" si="44">COUNTIF(AS18:AS53,"1F")</f>
        <v>1</v>
      </c>
      <c r="AT58" s="103">
        <f t="shared" si="44"/>
        <v>1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4</v>
      </c>
      <c r="AS59" s="103">
        <f t="shared" ref="AS59" si="45">COUNTIF(AS18:AS53,"2F")</f>
        <v>7</v>
      </c>
      <c r="AT59" s="103">
        <f>COUNTIF(AT18:AT53,"1S")</f>
        <v>6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0.625</v>
      </c>
      <c r="E63" s="10">
        <f t="shared" si="46"/>
        <v>0.8</v>
      </c>
      <c r="F63" s="10" t="e">
        <f t="shared" si="46"/>
        <v>#DIV/0!</v>
      </c>
      <c r="G63" s="10" t="e">
        <f t="shared" si="46"/>
        <v>#DIV/0!</v>
      </c>
      <c r="H63" s="10">
        <f t="shared" si="46"/>
        <v>1</v>
      </c>
      <c r="I63" s="10">
        <f>$AJ$54</f>
        <v>0.8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3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</v>
      </c>
      <c r="D70" s="10">
        <f>D68/$B$54</f>
        <v>0.2</v>
      </c>
      <c r="E70" s="10">
        <f>E68/$B$54</f>
        <v>0.3</v>
      </c>
      <c r="F70" s="10">
        <f>F68/$B$54</f>
        <v>0.3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0.16666666666666666</v>
      </c>
      <c r="D71" s="10">
        <f>Z56</f>
        <v>0.16666666666666666</v>
      </c>
      <c r="E71" s="10">
        <f>AA56</f>
        <v>0.21666666666666665</v>
      </c>
      <c r="F71" s="10">
        <f>AB56</f>
        <v>0.25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</v>
      </c>
      <c r="D74" s="10">
        <f>IF($D$7="ja",D70,IF($D7="nee",D72))</f>
        <v>0.2</v>
      </c>
      <c r="E74" s="10">
        <f>IF($D$7="ja",E70,IF($D7="nee",E72))</f>
        <v>0.3</v>
      </c>
      <c r="F74" s="10">
        <f>IF($D$7="ja",F70,IF($D7="nee",F72))</f>
        <v>0.3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0.16666666666666666</v>
      </c>
      <c r="D75" s="10">
        <f>IF($D$7="ja",D71,IF($D$7="nee",D73))</f>
        <v>0.16666666666666666</v>
      </c>
      <c r="E75" s="10">
        <f>IF($D$7="ja",E71,IF($D$7="nee",E73))</f>
        <v>0.21666666666666665</v>
      </c>
      <c r="F75" s="10">
        <f>IF($D$7="ja",F71,IF($D$7="nee",F73))</f>
        <v>0.25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94" priority="222" stopIfTrue="1" operator="equal">
      <formula>""</formula>
    </cfRule>
  </conditionalFormatting>
  <conditionalFormatting sqref="D7:D8 C9">
    <cfRule type="cellIs" dxfId="93" priority="297" stopIfTrue="1" operator="equal">
      <formula>"nee"</formula>
    </cfRule>
    <cfRule type="cellIs" dxfId="92" priority="296" stopIfTrue="1" operator="equal">
      <formula>"ja"</formula>
    </cfRule>
  </conditionalFormatting>
  <conditionalFormatting sqref="D18:D53">
    <cfRule type="cellIs" dxfId="91" priority="315" stopIfTrue="1" operator="equal">
      <formula>""</formula>
    </cfRule>
  </conditionalFormatting>
  <conditionalFormatting sqref="D18:E53">
    <cfRule type="cellIs" dxfId="90" priority="313" stopIfTrue="1" operator="equal">
      <formula>"x"</formula>
    </cfRule>
  </conditionalFormatting>
  <conditionalFormatting sqref="E18:E53">
    <cfRule type="cellIs" dxfId="89" priority="314" stopIfTrue="1" operator="equal">
      <formula>""</formula>
    </cfRule>
  </conditionalFormatting>
  <conditionalFormatting sqref="F11:F13">
    <cfRule type="expression" dxfId="88" priority="224" stopIfTrue="1">
      <formula>$K$3="ja"</formula>
    </cfRule>
    <cfRule type="expression" dxfId="87" priority="223" stopIfTrue="1">
      <formula>$I$3="ja"</formula>
    </cfRule>
  </conditionalFormatting>
  <conditionalFormatting sqref="F18:F53">
    <cfRule type="cellIs" dxfId="86" priority="221" stopIfTrue="1" operator="greaterThan">
      <formula>""</formula>
    </cfRule>
    <cfRule type="cellIs" dxfId="85" priority="220" stopIfTrue="1" operator="equal">
      <formula>""</formula>
    </cfRule>
  </conditionalFormatting>
  <conditionalFormatting sqref="G11:G13">
    <cfRule type="expression" dxfId="84" priority="305" stopIfTrue="1">
      <formula>$K$2="ja"</formula>
    </cfRule>
    <cfRule type="expression" dxfId="83" priority="304" stopIfTrue="1">
      <formula>$I$2="ja"</formula>
    </cfRule>
    <cfRule type="expression" dxfId="82" priority="278">
      <formula>$J$2="ja"</formula>
    </cfRule>
  </conditionalFormatting>
  <conditionalFormatting sqref="G18:L53">
    <cfRule type="cellIs" dxfId="81" priority="289" stopIfTrue="1" operator="notEqual">
      <formula>$C18</formula>
    </cfRule>
    <cfRule type="cellIs" dxfId="80" priority="288" stopIfTrue="1" operator="lessThanOrEqual">
      <formula>$C18</formula>
    </cfRule>
    <cfRule type="cellIs" dxfId="79" priority="287" stopIfTrue="1" operator="equal">
      <formula>0</formula>
    </cfRule>
  </conditionalFormatting>
  <conditionalFormatting sqref="H11:H13">
    <cfRule type="expression" dxfId="78" priority="306" stopIfTrue="1">
      <formula>$I$3="ja"</formula>
    </cfRule>
  </conditionalFormatting>
  <conditionalFormatting sqref="H11:I13">
    <cfRule type="expression" dxfId="77" priority="273">
      <formula>$L$2="ja"</formula>
    </cfRule>
  </conditionalFormatting>
  <conditionalFormatting sqref="H11:J13">
    <cfRule type="expression" dxfId="76" priority="270">
      <formula>$K$3="ja"</formula>
    </cfRule>
  </conditionalFormatting>
  <conditionalFormatting sqref="I11:I13">
    <cfRule type="expression" dxfId="75" priority="279">
      <formula>$K$2="ja"</formula>
    </cfRule>
    <cfRule type="expression" dxfId="74" priority="277">
      <formula>$J$2="ja"</formula>
    </cfRule>
  </conditionalFormatting>
  <conditionalFormatting sqref="I11:Q13">
    <cfRule type="expression" dxfId="73" priority="168">
      <formula>$I$3="ja"</formula>
    </cfRule>
  </conditionalFormatting>
  <conditionalFormatting sqref="K11:Q13">
    <cfRule type="expression" dxfId="72" priority="167">
      <formula>$J$2="ja"</formula>
    </cfRule>
    <cfRule type="expression" dxfId="71" priority="169" stopIfTrue="1">
      <formula>$K$2="ja"</formula>
    </cfRule>
    <cfRule type="expression" dxfId="70" priority="170" stopIfTrue="1">
      <formula>$L$2="ja"</formula>
    </cfRule>
    <cfRule type="expression" dxfId="69" priority="171" stopIfTrue="1">
      <formula>$R$2="ja"</formula>
    </cfRule>
  </conditionalFormatting>
  <conditionalFormatting sqref="AI18:AI53">
    <cfRule type="cellIs" dxfId="68" priority="310" stopIfTrue="1" operator="notEqual">
      <formula>""</formula>
    </cfRule>
  </conditionalFormatting>
  <conditionalFormatting sqref="AJ11:AK13">
    <cfRule type="cellIs" dxfId="67" priority="159" stopIfTrue="1" operator="equal">
      <formula>1</formula>
    </cfRule>
    <cfRule type="cellIs" dxfId="66" priority="160" stopIfTrue="1" operator="lessThan">
      <formula>1</formula>
    </cfRule>
  </conditionalFormatting>
  <conditionalFormatting sqref="AL18:AM53">
    <cfRule type="expression" dxfId="65" priority="192" stopIfTrue="1">
      <formula>$K$3="ja"</formula>
    </cfRule>
  </conditionalFormatting>
  <conditionalFormatting sqref="AN18:AN53">
    <cfRule type="cellIs" dxfId="64" priority="259" stopIfTrue="1" operator="equal">
      <formula>1</formula>
    </cfRule>
    <cfRule type="cellIs" dxfId="63" priority="260" stopIfTrue="1" operator="equal">
      <formula>""</formula>
    </cfRule>
  </conditionalFormatting>
  <conditionalFormatting sqref="AO18:AO53">
    <cfRule type="cellIs" dxfId="62" priority="261" stopIfTrue="1" operator="equal">
      <formula>1</formula>
    </cfRule>
    <cfRule type="cellIs" dxfId="61" priority="262" stopIfTrue="1" operator="equal">
      <formula>""</formula>
    </cfRule>
  </conditionalFormatting>
  <conditionalFormatting sqref="AY18:AZ53">
    <cfRule type="expression" dxfId="60" priority="244" stopIfTrue="1">
      <formula>$K$3="ja"</formula>
    </cfRule>
  </conditionalFormatting>
  <conditionalFormatting sqref="AZ54">
    <cfRule type="expression" dxfId="59" priority="241" stopIfTrue="1">
      <formula>$I$3="ja"</formula>
    </cfRule>
    <cfRule type="expression" dxfId="58" priority="242" stopIfTrue="1">
      <formula>$K$3="ja"</formula>
    </cfRule>
  </conditionalFormatting>
  <conditionalFormatting sqref="B18:B53">
    <cfRule type="cellIs" dxfId="57" priority="103" stopIfTrue="1" operator="equal">
      <formula>""</formula>
    </cfRule>
  </conditionalFormatting>
  <conditionalFormatting sqref="AR11:AR13">
    <cfRule type="expression" dxfId="56" priority="52" stopIfTrue="1">
      <formula>$I$3="ja"</formula>
    </cfRule>
  </conditionalFormatting>
  <conditionalFormatting sqref="AR11:AS13">
    <cfRule type="expression" dxfId="55" priority="54">
      <formula>$L$2="ja"</formula>
    </cfRule>
    <cfRule type="expression" dxfId="54" priority="55">
      <formula>$K$3="ja"</formula>
    </cfRule>
  </conditionalFormatting>
  <conditionalFormatting sqref="AS11:AS13">
    <cfRule type="expression" dxfId="53" priority="53">
      <formula>$K$2="ja"</formula>
    </cfRule>
  </conditionalFormatting>
  <conditionalFormatting sqref="AS11:AT13">
    <cfRule type="expression" dxfId="52" priority="47">
      <formula>$J$2="ja"</formula>
    </cfRule>
  </conditionalFormatting>
  <conditionalFormatting sqref="AS11:AU13">
    <cfRule type="expression" dxfId="51" priority="48">
      <formula>$I$3="ja"</formula>
    </cfRule>
  </conditionalFormatting>
  <conditionalFormatting sqref="AT11:AT13">
    <cfRule type="expression" dxfId="50" priority="49" stopIfTrue="1">
      <formula>$K$2="ja"</formula>
    </cfRule>
    <cfRule type="expression" dxfId="49" priority="50" stopIfTrue="1">
      <formula>$L$2="ja"</formula>
    </cfRule>
    <cfRule type="expression" dxfId="48" priority="51" stopIfTrue="1">
      <formula>$R$2="ja"</formula>
    </cfRule>
  </conditionalFormatting>
  <conditionalFormatting sqref="AU11:AU13 AX11:AX13">
    <cfRule type="expression" dxfId="47" priority="57" stopIfTrue="1">
      <formula>$K$3="ja"</formula>
    </cfRule>
  </conditionalFormatting>
  <conditionalFormatting sqref="AP18:AP53">
    <cfRule type="cellIs" dxfId="46" priority="30" stopIfTrue="1" operator="equal">
      <formula>"x"</formula>
    </cfRule>
    <cfRule type="expression" dxfId="45" priority="31" stopIfTrue="1">
      <formula>$B18&gt;0</formula>
    </cfRule>
    <cfRule type="cellIs" dxfId="44" priority="32" stopIfTrue="1" operator="equal">
      <formula>""</formula>
    </cfRule>
  </conditionalFormatting>
  <conditionalFormatting sqref="AQ18:AQ54">
    <cfRule type="expression" dxfId="43" priority="29" stopIfTrue="1">
      <formula>$K$3="ja"</formula>
    </cfRule>
  </conditionalFormatting>
  <conditionalFormatting sqref="AQ54">
    <cfRule type="expression" dxfId="42" priority="28" stopIfTrue="1">
      <formula>$I$3="ja"</formula>
    </cfRule>
  </conditionalFormatting>
  <conditionalFormatting sqref="AR54:AX54">
    <cfRule type="expression" dxfId="41" priority="26" stopIfTrue="1">
      <formula>$I$3="ja"</formula>
    </cfRule>
  </conditionalFormatting>
  <conditionalFormatting sqref="AR54:AT54">
    <cfRule type="expression" dxfId="40" priority="25" stopIfTrue="1">
      <formula>$K$3="ja"</formula>
    </cfRule>
  </conditionalFormatting>
  <conditionalFormatting sqref="AU54:AX54">
    <cfRule type="expression" dxfId="39" priority="27" stopIfTrue="1">
      <formula>$K$3="ja"</formula>
    </cfRule>
  </conditionalFormatting>
  <conditionalFormatting sqref="AR18:AS53">
    <cfRule type="cellIs" dxfId="38" priority="13" operator="equal">
      <formula>"2F"</formula>
    </cfRule>
  </conditionalFormatting>
  <conditionalFormatting sqref="AR18:AT53">
    <cfRule type="cellIs" dxfId="37" priority="15" operator="equal">
      <formula>"&lt;1F"</formula>
    </cfRule>
    <cfRule type="cellIs" dxfId="36" priority="16" operator="equal">
      <formula>"1F"</formula>
    </cfRule>
    <cfRule type="expression" dxfId="35" priority="17" stopIfTrue="1">
      <formula>$K$3="ja"</formula>
    </cfRule>
  </conditionalFormatting>
  <conditionalFormatting sqref="AT18:AT53">
    <cfRule type="cellIs" dxfId="34" priority="14" operator="equal">
      <formula>"1S"</formula>
    </cfRule>
  </conditionalFormatting>
  <conditionalFormatting sqref="AU18:AU53">
    <cfRule type="expression" dxfId="33" priority="21">
      <formula>$AV18=""</formula>
    </cfRule>
    <cfRule type="expression" dxfId="32" priority="22">
      <formula>$AV18&lt;$AQ18</formula>
    </cfRule>
    <cfRule type="expression" dxfId="31" priority="23">
      <formula>$AV18&gt;=$AQ18</formula>
    </cfRule>
  </conditionalFormatting>
  <conditionalFormatting sqref="AV18:AW53">
    <cfRule type="expression" dxfId="30" priority="24" stopIfTrue="1">
      <formula>$K$3="ja"</formula>
    </cfRule>
  </conditionalFormatting>
  <conditionalFormatting sqref="AX18:AX53">
    <cfRule type="expression" dxfId="29" priority="18">
      <formula>$AY18=""</formula>
    </cfRule>
    <cfRule type="expression" dxfId="28" priority="19">
      <formula>$AY18&lt;$AV18</formula>
    </cfRule>
    <cfRule type="expression" dxfId="27" priority="20">
      <formula>$AY18&gt;=$AV18</formula>
    </cfRule>
  </conditionalFormatting>
  <conditionalFormatting sqref="AJ18:AJ53">
    <cfRule type="cellIs" dxfId="26" priority="11" stopIfTrue="1" operator="equal">
      <formula>1</formula>
    </cfRule>
    <cfRule type="cellIs" dxfId="25" priority="12" stopIfTrue="1" operator="lessThan">
      <formula>1</formula>
    </cfRule>
  </conditionalFormatting>
  <conditionalFormatting sqref="AK18:AK53">
    <cfRule type="expression" dxfId="24" priority="2">
      <formula>$F18=""</formula>
    </cfRule>
    <cfRule type="expression" dxfId="23" priority="3">
      <formula>$AL18=""</formula>
    </cfRule>
    <cfRule type="expression" dxfId="22" priority="4">
      <formula>$AL18&lt;$AQ18</formula>
    </cfRule>
    <cfRule type="expression" dxfId="21" priority="5">
      <formula>$AL18&gt;=$AQ18</formula>
    </cfRule>
  </conditionalFormatting>
  <conditionalFormatting sqref="AK18:AK54">
    <cfRule type="expression" dxfId="20" priority="1">
      <formula>$B18&gt;0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X18:AX53 AU18:AU53" xr:uid="{D6F3AD41-199B-48A5-B43F-4C1FDC373D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E4C9-D3E0-4D26-9010-B04E63C2CAE4}">
  <sheetPr>
    <tabColor rgb="FFCCCCFF"/>
    <pageSetUpPr fitToPage="1"/>
  </sheetPr>
  <dimension ref="A2:AD54"/>
  <sheetViews>
    <sheetView showGridLines="0" showRowColHeaders="0" zoomScale="65" zoomScaleNormal="65" workbookViewId="0">
      <selection activeCell="H2" sqref="H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5</v>
      </c>
      <c r="I2" s="277" t="str">
        <f>VLOOKUP($H$2,'groep 7'!A18:B53,2)</f>
        <v>leerling 5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7'!$C$2</f>
        <v>7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7'!B18</f>
        <v>leerling 1</v>
      </c>
    </row>
    <row r="7" spans="1:30" x14ac:dyDescent="0.45">
      <c r="A7" s="213">
        <v>2</v>
      </c>
      <c r="B7" s="212" t="str">
        <f>'groep 7'!B19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7'!B20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7'!B21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7'!B22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7'!B23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7'!B24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7'!B25</f>
        <v>leerling 8</v>
      </c>
      <c r="H13" s="217"/>
      <c r="I13" s="217"/>
      <c r="J13" s="217"/>
      <c r="K13" s="226">
        <f>VLOOKUP($H$2,'groep 7'!$A18:$L53,7)</f>
        <v>0</v>
      </c>
      <c r="L13" s="226" t="str">
        <f>VLOOKUP($H$2,'groep 7'!$A18:$L53,8)</f>
        <v>D</v>
      </c>
      <c r="M13" s="226" t="str">
        <f>VLOOKUP($H$2,'groep 7'!$A18:$L53,9)</f>
        <v>B</v>
      </c>
      <c r="N13" s="226">
        <f>VLOOKUP($H$2,'groep 7'!$A18:$L53,10)</f>
        <v>0</v>
      </c>
      <c r="O13" s="226">
        <f>VLOOKUP($H$2,'groep 7'!$A18:$L53,11)</f>
        <v>0</v>
      </c>
      <c r="P13" s="226" t="str">
        <f>VLOOKUP($H$2,'groep 7'!$A18:$L53,12)</f>
        <v>B</v>
      </c>
      <c r="Q13" s="226"/>
      <c r="R13" s="226" t="str">
        <f>VLOOKUP($H$2,'groep 7'!$A18:$L53,3)</f>
        <v>C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7'!B26</f>
        <v>leerling 9</v>
      </c>
      <c r="K14" s="225" t="str">
        <f>IF(K13="E",1,IF(K13="D",2,IF(K13="C",3,IF(K13="B",4,IF(K13="A",5,IF(K13=5,1,IF(K13=4,2,IF(K13=3,3,IF(K13=2,4,IF(K13=1,5,IF(K13=0,"")))))))))))</f>
        <v/>
      </c>
      <c r="L14" s="225">
        <f t="shared" ref="L14:P14" si="0">IF(L13="E",1,IF(L13="D",2,IF(L13="C",3,IF(L13="B",4,IF(L13="A",5,IF(L13=5,1,IF(L13=4,2,IF(L13=3,3,IF(L13=2,4,IF(L13=1,5,IF(L13=0,"")))))))))))</f>
        <v>2</v>
      </c>
      <c r="M14" s="225">
        <f t="shared" si="0"/>
        <v>4</v>
      </c>
      <c r="N14" s="225" t="str">
        <f t="shared" si="0"/>
        <v/>
      </c>
      <c r="O14" s="225" t="str">
        <f t="shared" si="0"/>
        <v/>
      </c>
      <c r="P14" s="225">
        <f t="shared" si="0"/>
        <v>4</v>
      </c>
      <c r="Q14" s="252">
        <f>U14/T14</f>
        <v>3.3333333333333335</v>
      </c>
      <c r="R14" s="225">
        <f>IF(R13="E",1,IF(R13="D",2,IF(R13="C",3,IF(R13="B",4,IF(R13="A",5,IF(R13=5,1,IF(R13=4,2,IF(R13=3,3,IF(R13=2,4,IF(R13=1,5,IF(R13=0,"")))))))))))</f>
        <v>3</v>
      </c>
      <c r="S14" s="252">
        <f>S13</f>
        <v>2.4299999999999997</v>
      </c>
      <c r="T14" s="256">
        <f>COUNTIF(K14:P14,"&gt;0")</f>
        <v>3</v>
      </c>
      <c r="U14" s="256">
        <f>SUM(K14:P14)</f>
        <v>10</v>
      </c>
    </row>
    <row r="15" spans="1:30" x14ac:dyDescent="0.45">
      <c r="A15" s="213">
        <v>10</v>
      </c>
      <c r="B15" s="212" t="str">
        <f>'groep 7'!B27</f>
        <v>leerling 10</v>
      </c>
    </row>
    <row r="16" spans="1:30" x14ac:dyDescent="0.45">
      <c r="A16" s="213">
        <v>11</v>
      </c>
      <c r="B16" s="212">
        <f>'groep 7'!B28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7'!B29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7'!B30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7'!B31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7'!B32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7'!B33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7'!B34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7'!B35</f>
        <v>0</v>
      </c>
    </row>
    <row r="24" spans="1:21" x14ac:dyDescent="0.45">
      <c r="A24" s="213">
        <v>19</v>
      </c>
      <c r="B24" s="212">
        <f>'groep 7'!B36</f>
        <v>0</v>
      </c>
    </row>
    <row r="25" spans="1:21" x14ac:dyDescent="0.45">
      <c r="A25" s="213">
        <v>20</v>
      </c>
      <c r="B25" s="212">
        <f>'groep 7'!B37</f>
        <v>0</v>
      </c>
    </row>
    <row r="26" spans="1:21" x14ac:dyDescent="0.45">
      <c r="A26" s="213">
        <v>21</v>
      </c>
      <c r="B26" s="212">
        <f>'groep 7'!B38</f>
        <v>0</v>
      </c>
    </row>
    <row r="27" spans="1:21" x14ac:dyDescent="0.45">
      <c r="A27" s="213">
        <v>22</v>
      </c>
      <c r="B27" s="212">
        <f>'groep 7'!B39</f>
        <v>0</v>
      </c>
    </row>
    <row r="28" spans="1:21" ht="15.75" customHeight="1" x14ac:dyDescent="0.45">
      <c r="A28" s="213">
        <v>23</v>
      </c>
      <c r="B28" s="212">
        <f>'groep 7'!B40</f>
        <v>0</v>
      </c>
    </row>
    <row r="29" spans="1:21" x14ac:dyDescent="0.45">
      <c r="A29" s="213">
        <v>24</v>
      </c>
      <c r="B29" s="212">
        <f>'groep 7'!B41</f>
        <v>0</v>
      </c>
    </row>
    <row r="30" spans="1:21" x14ac:dyDescent="0.45">
      <c r="A30" s="213">
        <v>25</v>
      </c>
      <c r="B30" s="212">
        <f>'groep 7'!B42</f>
        <v>0</v>
      </c>
    </row>
    <row r="31" spans="1:21" x14ac:dyDescent="0.45">
      <c r="A31" s="213">
        <v>26</v>
      </c>
      <c r="B31" s="212">
        <f>'groep 7'!B43</f>
        <v>0</v>
      </c>
    </row>
    <row r="32" spans="1:21" x14ac:dyDescent="0.45">
      <c r="A32" s="213">
        <v>27</v>
      </c>
      <c r="B32" s="212">
        <f>'groep 7'!B44</f>
        <v>0</v>
      </c>
    </row>
    <row r="33" spans="1:7" x14ac:dyDescent="0.45">
      <c r="A33" s="213">
        <v>28</v>
      </c>
      <c r="B33" s="212">
        <f>'groep 7'!B45</f>
        <v>0</v>
      </c>
    </row>
    <row r="34" spans="1:7" x14ac:dyDescent="0.45">
      <c r="A34" s="213">
        <v>29</v>
      </c>
      <c r="B34" s="212">
        <f>'groep 7'!B46</f>
        <v>0</v>
      </c>
    </row>
    <row r="35" spans="1:7" x14ac:dyDescent="0.45">
      <c r="A35" s="213">
        <v>30</v>
      </c>
      <c r="B35" s="212">
        <f>'groep 7'!B47</f>
        <v>0</v>
      </c>
    </row>
    <row r="36" spans="1:7" x14ac:dyDescent="0.45">
      <c r="A36" s="213">
        <v>31</v>
      </c>
      <c r="B36" s="212">
        <f>'groep 7'!B48</f>
        <v>0</v>
      </c>
    </row>
    <row r="37" spans="1:7" x14ac:dyDescent="0.45">
      <c r="A37" s="213">
        <v>32</v>
      </c>
      <c r="B37" s="212">
        <f>'groep 7'!B49</f>
        <v>0</v>
      </c>
    </row>
    <row r="38" spans="1:7" x14ac:dyDescent="0.45">
      <c r="A38" s="213">
        <v>33</v>
      </c>
      <c r="B38" s="212">
        <f>'groep 7'!B50</f>
        <v>0</v>
      </c>
    </row>
    <row r="39" spans="1:7" x14ac:dyDescent="0.45">
      <c r="A39" s="213">
        <v>34</v>
      </c>
      <c r="B39" s="212">
        <f>'groep 7'!B51</f>
        <v>0</v>
      </c>
    </row>
    <row r="40" spans="1:7" x14ac:dyDescent="0.45">
      <c r="A40" s="213">
        <v>35</v>
      </c>
      <c r="B40" s="212">
        <f>'groep 7'!B52</f>
        <v>0</v>
      </c>
    </row>
    <row r="41" spans="1:7" x14ac:dyDescent="0.45">
      <c r="A41" s="213">
        <v>36</v>
      </c>
      <c r="B41" s="212">
        <f>'groep 7'!B53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00FF"/>
  </sheetPr>
  <dimension ref="A1:AZ75"/>
  <sheetViews>
    <sheetView showGridLines="0" showRowColHeaders="0" showWhiteSpace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8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str">
        <f>IF($C$2=8,"ja",IF($C$2="8A","ja",IF($C$2="8B","ja",IF($C$2="8C","ja"))))</f>
        <v>ja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60">
        <v>45692</v>
      </c>
      <c r="D3" s="26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str">
        <f>IF($C$2=8,"ja",IF($C$2="8A","ja",IF($C$2="8B","ja",IF($C$2="8C","ja"))))</f>
        <v>ja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66" t="s">
        <v>98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69" t="s">
        <v>28</v>
      </c>
      <c r="C7" s="270"/>
      <c r="D7" s="50" t="s">
        <v>75</v>
      </c>
      <c r="H7" s="3"/>
      <c r="I7" s="3"/>
      <c r="J7" s="3"/>
    </row>
    <row r="8" spans="1:52" x14ac:dyDescent="0.25">
      <c r="B8" s="269" t="s">
        <v>27</v>
      </c>
      <c r="C8" s="27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62" t="s">
        <v>85</v>
      </c>
      <c r="H10" s="263"/>
      <c r="I10" s="262" t="s">
        <v>31</v>
      </c>
      <c r="J10" s="263"/>
      <c r="K10" s="262" t="s">
        <v>32</v>
      </c>
      <c r="L10" s="26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72" t="s">
        <v>117</v>
      </c>
      <c r="AS10" s="273"/>
      <c r="AT10" s="26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353" t="s">
        <v>162</v>
      </c>
      <c r="C18" s="200" t="s">
        <v>17</v>
      </c>
      <c r="D18" s="159"/>
      <c r="E18" s="159"/>
      <c r="F18" s="160"/>
      <c r="G18" s="161"/>
      <c r="H18" s="204" t="s">
        <v>18</v>
      </c>
      <c r="I18" s="204" t="s">
        <v>16</v>
      </c>
      <c r="J18" s="157"/>
      <c r="K18" s="157"/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2</v>
      </c>
      <c r="P18" s="164">
        <f t="shared" ref="P18:P53" si="1">IF(I18="E",1,IF(I18="D",2,IF(I18="C",3,IF(I18="B",4,IF(I18="A",5,IF(I18=5,1,IF(I18=4,2,IF(I18=3,3,IF(I18=2,4,IF(I18=1,5,IF(I18="","")))))))))))</f>
        <v>4</v>
      </c>
      <c r="Q18" s="164">
        <f>IF(M18&lt;3,2,IF($C$2&lt;6,0,IF($C$2&gt;=6,SUM(N18:P18))))</f>
        <v>10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2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>
        <f t="shared" ref="AA18:AA53" si="10">IF($C18="C",$AJ18)</f>
        <v>0.66666666666666663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3</v>
      </c>
      <c r="AJ18" s="167">
        <f t="shared" ref="AJ18:AJ53" si="14">IF(AI18=0,"",IF(AI18="","",IF(AI18&gt;0,X18/AI18)))</f>
        <v>0.66666666666666663</v>
      </c>
      <c r="AK18" s="348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68">
        <f>IF(AK18="","",IF(AK18="PRO",1,IF(AK18="LWOO",2,IF(AK18="BBL",3,IF(AK18="BBL/Kader",4,IF(AK18="Kader",5,IF(AK18="Kader/TL",6,IF(AK18="TL",7,IF(AK18="TL/Havo",8,IF(AK18="Havo",9,IF(AK18="Havo/VWO",10,IF(AK18="VWO",11))))))))))))</f>
        <v>6</v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351" t="str">
        <f>IF($C$2&lt;6,"",IF($M18&lt;3,"",IF(O18=1,"&lt;1F",IF(O18&gt;3,"2F",IF(O18&gt;1,"1F")))))</f>
        <v>1F</v>
      </c>
      <c r="AS18" s="351" t="str">
        <f>IF($C$2&lt;6,"",IF($M18&lt;3,"",IF(P18=1,"&lt;1F",IF(P18&gt;3,"2F",IF(P18&gt;1,"1F")))))</f>
        <v>2F</v>
      </c>
      <c r="AT18" s="351" t="str">
        <f>IF($C$2&lt;6,"",IF($M18&lt;3,"",IF(N18&lt;=2,"&lt;1F",IF(N18&gt;3,"1S",IF(N18&gt;2,"1F")))))</f>
        <v>1S</v>
      </c>
      <c r="AU18" s="350"/>
      <c r="AV18" s="351"/>
      <c r="AW18" s="351"/>
      <c r="AX18" s="350"/>
      <c r="AY18" s="349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353" t="s">
        <v>169</v>
      </c>
      <c r="C19" s="200" t="s">
        <v>15</v>
      </c>
      <c r="D19" s="138"/>
      <c r="E19" s="138"/>
      <c r="F19" s="160"/>
      <c r="G19" s="161"/>
      <c r="H19" s="204" t="s">
        <v>16</v>
      </c>
      <c r="I19" s="204" t="s">
        <v>17</v>
      </c>
      <c r="J19" s="157"/>
      <c r="K19" s="157"/>
      <c r="L19" s="203" t="s">
        <v>16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4</v>
      </c>
      <c r="O19" s="164">
        <f t="shared" si="0"/>
        <v>4</v>
      </c>
      <c r="P19" s="164">
        <f t="shared" si="1"/>
        <v>3</v>
      </c>
      <c r="Q19" s="164">
        <f t="shared" ref="Q19:Q53" si="18">IF($C$2&lt;6,0,IF($C$2&gt;=6,SUM(N19:P19)))</f>
        <v>11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3</v>
      </c>
      <c r="AJ19" s="171">
        <f t="shared" si="14"/>
        <v>0</v>
      </c>
      <c r="AK19" s="348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>TL</v>
      </c>
      <c r="AL19" s="168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>7</v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351" t="str">
        <f t="shared" ref="AR19:AR53" si="31">IF($C$2&lt;6,"",IF(M19&lt;3,"",IF(O19=1,"&lt;1F",IF(O19&gt;3,"2F",IF(O19&gt;1,"1F")))))</f>
        <v>2F</v>
      </c>
      <c r="AS19" s="351" t="str">
        <f t="shared" ref="AS19:AS53" si="32">IF($C$2&lt;6,"",IF($M19&lt;3,"",IF(P19=1,"&lt;1F",IF(P19&gt;3,"2F",IF(P19&gt;1,"1F")))))</f>
        <v>1F</v>
      </c>
      <c r="AT19" s="351" t="str">
        <f t="shared" ref="AT19:AT53" si="33">IF($C$2&lt;6,"",IF($M19&lt;3,"",IF(N19&lt;=2,"&lt;1F",IF(N19&gt;3,"1S",IF(N19&gt;2,"1F")))))</f>
        <v>1S</v>
      </c>
      <c r="AU19" s="350"/>
      <c r="AV19" s="351"/>
      <c r="AW19" s="351"/>
      <c r="AX19" s="350"/>
      <c r="AY19" s="349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353" t="s">
        <v>170</v>
      </c>
      <c r="C20" s="200" t="s">
        <v>17</v>
      </c>
      <c r="D20" s="138"/>
      <c r="E20" s="139"/>
      <c r="F20" s="160"/>
      <c r="G20" s="161"/>
      <c r="H20" s="204" t="s">
        <v>15</v>
      </c>
      <c r="I20" s="204" t="s">
        <v>16</v>
      </c>
      <c r="J20" s="172"/>
      <c r="K20" s="157"/>
      <c r="L20" s="203" t="s">
        <v>17</v>
      </c>
      <c r="M20" s="163">
        <f t="shared" si="16"/>
        <v>3</v>
      </c>
      <c r="N20" s="164">
        <f t="shared" si="17"/>
        <v>3</v>
      </c>
      <c r="O20" s="164">
        <f t="shared" si="0"/>
        <v>5</v>
      </c>
      <c r="P20" s="164">
        <f t="shared" si="1"/>
        <v>4</v>
      </c>
      <c r="Q20" s="164">
        <f t="shared" si="18"/>
        <v>12</v>
      </c>
      <c r="R20" s="104" t="str">
        <f t="shared" si="2"/>
        <v/>
      </c>
      <c r="S20" s="104">
        <f t="shared" si="3"/>
        <v>1</v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3</v>
      </c>
      <c r="Y20" s="165" t="b">
        <f t="shared" si="8"/>
        <v>0</v>
      </c>
      <c r="Z20" s="165" t="b">
        <f t="shared" si="9"/>
        <v>0</v>
      </c>
      <c r="AA20" s="165">
        <f t="shared" si="10"/>
        <v>1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3</v>
      </c>
      <c r="AJ20" s="171">
        <f t="shared" si="14"/>
        <v>1</v>
      </c>
      <c r="AK20" s="348" t="str">
        <f t="shared" si="25"/>
        <v>TL/Havo</v>
      </c>
      <c r="AL20" s="168">
        <f t="shared" si="26"/>
        <v>8</v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351" t="str">
        <f t="shared" si="31"/>
        <v>2F</v>
      </c>
      <c r="AS20" s="351" t="str">
        <f t="shared" si="32"/>
        <v>2F</v>
      </c>
      <c r="AT20" s="351" t="str">
        <f t="shared" si="33"/>
        <v>1F</v>
      </c>
      <c r="AU20" s="350"/>
      <c r="AV20" s="351"/>
      <c r="AW20" s="351"/>
      <c r="AX20" s="350"/>
      <c r="AY20" s="349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353" t="s">
        <v>171</v>
      </c>
      <c r="C21" s="200" t="s">
        <v>15</v>
      </c>
      <c r="D21" s="139"/>
      <c r="E21" s="139"/>
      <c r="F21" s="160"/>
      <c r="G21" s="161"/>
      <c r="H21" s="204" t="s">
        <v>16</v>
      </c>
      <c r="I21" s="204" t="s">
        <v>17</v>
      </c>
      <c r="J21" s="172"/>
      <c r="K21" s="157"/>
      <c r="L21" s="203" t="s">
        <v>15</v>
      </c>
      <c r="M21" s="163">
        <f t="shared" si="16"/>
        <v>3</v>
      </c>
      <c r="N21" s="164">
        <f t="shared" si="17"/>
        <v>5</v>
      </c>
      <c r="O21" s="164">
        <f t="shared" si="0"/>
        <v>4</v>
      </c>
      <c r="P21" s="164">
        <f t="shared" si="1"/>
        <v>3</v>
      </c>
      <c r="Q21" s="164">
        <f t="shared" si="18"/>
        <v>12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>
        <f t="shared" si="6"/>
        <v>1</v>
      </c>
      <c r="X21" s="104">
        <f t="shared" si="7"/>
        <v>1</v>
      </c>
      <c r="Y21" s="165">
        <f t="shared" si="8"/>
        <v>0.33333333333333331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3</v>
      </c>
      <c r="AJ21" s="171">
        <f t="shared" si="14"/>
        <v>0.33333333333333331</v>
      </c>
      <c r="AK21" s="348" t="str">
        <f t="shared" si="25"/>
        <v>TL/Havo</v>
      </c>
      <c r="AL21" s="168">
        <f t="shared" si="26"/>
        <v>8</v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351" t="str">
        <f t="shared" si="31"/>
        <v>2F</v>
      </c>
      <c r="AS21" s="351" t="str">
        <f t="shared" si="32"/>
        <v>1F</v>
      </c>
      <c r="AT21" s="351" t="str">
        <f t="shared" si="33"/>
        <v>1S</v>
      </c>
      <c r="AU21" s="350"/>
      <c r="AV21" s="351"/>
      <c r="AW21" s="351"/>
      <c r="AX21" s="350"/>
      <c r="AY21" s="349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353" t="s">
        <v>172</v>
      </c>
      <c r="C22" s="200" t="s">
        <v>18</v>
      </c>
      <c r="D22" s="139"/>
      <c r="E22" s="139"/>
      <c r="F22" s="160"/>
      <c r="G22" s="161"/>
      <c r="H22" s="204" t="s">
        <v>18</v>
      </c>
      <c r="I22" s="204" t="s">
        <v>16</v>
      </c>
      <c r="J22" s="172"/>
      <c r="K22" s="157"/>
      <c r="L22" s="203" t="s">
        <v>15</v>
      </c>
      <c r="M22" s="163">
        <f t="shared" si="16"/>
        <v>3</v>
      </c>
      <c r="N22" s="164">
        <f t="shared" si="17"/>
        <v>5</v>
      </c>
      <c r="O22" s="164">
        <f t="shared" si="0"/>
        <v>2</v>
      </c>
      <c r="P22" s="164">
        <f t="shared" si="1"/>
        <v>4</v>
      </c>
      <c r="Q22" s="164">
        <f t="shared" si="18"/>
        <v>11</v>
      </c>
      <c r="R22" s="104" t="str">
        <f t="shared" si="2"/>
        <v/>
      </c>
      <c r="S22" s="104">
        <f t="shared" si="3"/>
        <v>1</v>
      </c>
      <c r="T22" s="104">
        <f t="shared" si="4"/>
        <v>1</v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3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>
        <f t="shared" si="11"/>
        <v>1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3</v>
      </c>
      <c r="AJ22" s="171">
        <f t="shared" si="14"/>
        <v>1</v>
      </c>
      <c r="AK22" s="348" t="str">
        <f t="shared" si="25"/>
        <v>TL</v>
      </c>
      <c r="AL22" s="168">
        <f t="shared" si="26"/>
        <v>7</v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351" t="str">
        <f t="shared" si="31"/>
        <v>1F</v>
      </c>
      <c r="AS22" s="351" t="str">
        <f t="shared" si="32"/>
        <v>2F</v>
      </c>
      <c r="AT22" s="351" t="str">
        <f t="shared" si="33"/>
        <v>1S</v>
      </c>
      <c r="AU22" s="350"/>
      <c r="AV22" s="351"/>
      <c r="AW22" s="351"/>
      <c r="AX22" s="350"/>
      <c r="AY22" s="349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353" t="s">
        <v>173</v>
      </c>
      <c r="C23" s="200" t="s">
        <v>16</v>
      </c>
      <c r="D23" s="139"/>
      <c r="E23" s="139"/>
      <c r="F23" s="160"/>
      <c r="G23" s="161"/>
      <c r="H23" s="204" t="s">
        <v>16</v>
      </c>
      <c r="I23" s="204" t="s">
        <v>16</v>
      </c>
      <c r="J23" s="157"/>
      <c r="K23" s="157"/>
      <c r="L23" s="203" t="s">
        <v>16</v>
      </c>
      <c r="M23" s="163">
        <f t="shared" si="16"/>
        <v>3</v>
      </c>
      <c r="N23" s="164">
        <f t="shared" si="17"/>
        <v>4</v>
      </c>
      <c r="O23" s="164">
        <f t="shared" si="0"/>
        <v>4</v>
      </c>
      <c r="P23" s="164">
        <f t="shared" si="1"/>
        <v>4</v>
      </c>
      <c r="Q23" s="164">
        <f t="shared" si="18"/>
        <v>12</v>
      </c>
      <c r="R23" s="104" t="str">
        <f t="shared" si="2"/>
        <v/>
      </c>
      <c r="S23" s="104">
        <f t="shared" si="3"/>
        <v>1</v>
      </c>
      <c r="T23" s="104">
        <f t="shared" si="4"/>
        <v>1</v>
      </c>
      <c r="U23" s="104" t="str">
        <f t="shared" si="19"/>
        <v/>
      </c>
      <c r="V23" s="104" t="str">
        <f t="shared" si="5"/>
        <v/>
      </c>
      <c r="W23" s="104">
        <f t="shared" si="6"/>
        <v>1</v>
      </c>
      <c r="X23" s="104">
        <f t="shared" si="7"/>
        <v>3</v>
      </c>
      <c r="Y23" s="165" t="b">
        <f t="shared" si="8"/>
        <v>0</v>
      </c>
      <c r="Z23" s="165">
        <f t="shared" si="9"/>
        <v>1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3</v>
      </c>
      <c r="AJ23" s="171">
        <f t="shared" si="14"/>
        <v>1</v>
      </c>
      <c r="AK23" s="348" t="str">
        <f t="shared" si="25"/>
        <v>TL/Havo</v>
      </c>
      <c r="AL23" s="168">
        <f>IF(AK23="","",IF(AK23="PRO",1,IF(AK23="PRO/BBL",2,IF(AK23="BBL",3,IF(AK23="BBL/Kader",4,IF(AK23="Kader",5,IF(AK23="Kader/TL",6,IF(AK23="TL",7,IF(AK23="TL/Havo",8,IF(AK23="Havo",9,IF(AK23="Havo/VWO",10,IF(AK23="VWO",11))))))))))))</f>
        <v>8</v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351" t="str">
        <f t="shared" si="31"/>
        <v>2F</v>
      </c>
      <c r="AS23" s="351" t="str">
        <f t="shared" si="32"/>
        <v>2F</v>
      </c>
      <c r="AT23" s="351" t="str">
        <f t="shared" si="33"/>
        <v>1S</v>
      </c>
      <c r="AU23" s="350"/>
      <c r="AV23" s="351"/>
      <c r="AW23" s="351"/>
      <c r="AX23" s="350"/>
      <c r="AY23" s="349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353" t="s">
        <v>174</v>
      </c>
      <c r="C24" s="200" t="s">
        <v>18</v>
      </c>
      <c r="D24" s="138"/>
      <c r="E24" s="138"/>
      <c r="F24" s="160"/>
      <c r="G24" s="161"/>
      <c r="H24" s="204" t="s">
        <v>19</v>
      </c>
      <c r="I24" s="204" t="s">
        <v>17</v>
      </c>
      <c r="J24" s="172"/>
      <c r="K24" s="157"/>
      <c r="L24" s="203" t="s">
        <v>17</v>
      </c>
      <c r="M24" s="163">
        <f t="shared" si="16"/>
        <v>3</v>
      </c>
      <c r="N24" s="164">
        <f t="shared" si="17"/>
        <v>3</v>
      </c>
      <c r="O24" s="164">
        <f t="shared" si="0"/>
        <v>1</v>
      </c>
      <c r="P24" s="164">
        <f t="shared" si="1"/>
        <v>3</v>
      </c>
      <c r="Q24" s="164">
        <f t="shared" si="18"/>
        <v>7</v>
      </c>
      <c r="R24" s="104" t="str">
        <f t="shared" si="2"/>
        <v/>
      </c>
      <c r="S24" s="104" t="str">
        <f t="shared" si="3"/>
        <v/>
      </c>
      <c r="T24" s="104">
        <f t="shared" si="4"/>
        <v>1</v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2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>
        <f t="shared" si="11"/>
        <v>0.66666666666666663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3</v>
      </c>
      <c r="AJ24" s="171">
        <f t="shared" si="14"/>
        <v>0.66666666666666663</v>
      </c>
      <c r="AK24" s="348" t="str">
        <f t="shared" si="25"/>
        <v>BBL/Kader</v>
      </c>
      <c r="AL24" s="168">
        <f t="shared" si="26"/>
        <v>4</v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351" t="str">
        <f t="shared" si="31"/>
        <v>&lt;1F</v>
      </c>
      <c r="AS24" s="351" t="str">
        <f t="shared" si="32"/>
        <v>1F</v>
      </c>
      <c r="AT24" s="351" t="str">
        <f t="shared" si="33"/>
        <v>1F</v>
      </c>
      <c r="AU24" s="350"/>
      <c r="AV24" s="351"/>
      <c r="AW24" s="351"/>
      <c r="AX24" s="350"/>
      <c r="AY24" s="349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353" t="s">
        <v>175</v>
      </c>
      <c r="C25" s="200" t="s">
        <v>17</v>
      </c>
      <c r="D25" s="139"/>
      <c r="E25" s="139"/>
      <c r="F25" s="160"/>
      <c r="G25" s="173"/>
      <c r="H25" s="204" t="s">
        <v>16</v>
      </c>
      <c r="I25" s="204" t="s">
        <v>17</v>
      </c>
      <c r="J25" s="172"/>
      <c r="K25" s="172"/>
      <c r="L25" s="203" t="s">
        <v>16</v>
      </c>
      <c r="M25" s="163">
        <f t="shared" si="16"/>
        <v>3</v>
      </c>
      <c r="N25" s="164">
        <f t="shared" si="17"/>
        <v>4</v>
      </c>
      <c r="O25" s="164">
        <f t="shared" si="0"/>
        <v>4</v>
      </c>
      <c r="P25" s="164">
        <f t="shared" si="1"/>
        <v>3</v>
      </c>
      <c r="Q25" s="164">
        <f t="shared" si="18"/>
        <v>11</v>
      </c>
      <c r="R25" s="104" t="str">
        <f t="shared" si="2"/>
        <v/>
      </c>
      <c r="S25" s="104">
        <f t="shared" si="3"/>
        <v>1</v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>
        <f t="shared" si="6"/>
        <v>1</v>
      </c>
      <c r="X25" s="104">
        <f t="shared" si="7"/>
        <v>3</v>
      </c>
      <c r="Y25" s="165" t="b">
        <f t="shared" si="8"/>
        <v>0</v>
      </c>
      <c r="Z25" s="165" t="b">
        <f t="shared" si="9"/>
        <v>0</v>
      </c>
      <c r="AA25" s="165">
        <f t="shared" si="10"/>
        <v>1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3</v>
      </c>
      <c r="AJ25" s="171">
        <f t="shared" si="14"/>
        <v>1</v>
      </c>
      <c r="AK25" s="348" t="str">
        <f t="shared" si="25"/>
        <v>TL</v>
      </c>
      <c r="AL25" s="168">
        <f t="shared" si="26"/>
        <v>7</v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351" t="str">
        <f t="shared" si="31"/>
        <v>2F</v>
      </c>
      <c r="AS25" s="351" t="str">
        <f t="shared" si="32"/>
        <v>1F</v>
      </c>
      <c r="AT25" s="351" t="str">
        <f t="shared" si="33"/>
        <v>1S</v>
      </c>
      <c r="AU25" s="350"/>
      <c r="AV25" s="351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351">
        <f t="shared" ref="AW25:AW53" si="36">IF(AV25="",0,IF(AV25&lt;AQ25,0,IF(AV25&gt;=AQ25,1)))</f>
        <v>0</v>
      </c>
      <c r="AX25" s="350"/>
      <c r="AY25" s="349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353" t="s">
        <v>163</v>
      </c>
      <c r="C26" s="200" t="s">
        <v>15</v>
      </c>
      <c r="D26" s="139"/>
      <c r="E26" s="139"/>
      <c r="F26" s="160"/>
      <c r="G26" s="173"/>
      <c r="H26" s="204" t="s">
        <v>17</v>
      </c>
      <c r="I26" s="204" t="s">
        <v>17</v>
      </c>
      <c r="J26" s="172"/>
      <c r="K26" s="172"/>
      <c r="L26" s="203" t="s">
        <v>15</v>
      </c>
      <c r="M26" s="163">
        <f t="shared" si="16"/>
        <v>3</v>
      </c>
      <c r="N26" s="164">
        <f t="shared" si="17"/>
        <v>5</v>
      </c>
      <c r="O26" s="164">
        <f t="shared" si="0"/>
        <v>3</v>
      </c>
      <c r="P26" s="164">
        <f t="shared" si="1"/>
        <v>3</v>
      </c>
      <c r="Q26" s="164">
        <f t="shared" si="18"/>
        <v>11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>
        <f t="shared" si="6"/>
        <v>1</v>
      </c>
      <c r="X26" s="104">
        <f t="shared" si="7"/>
        <v>1</v>
      </c>
      <c r="Y26" s="165">
        <f t="shared" si="8"/>
        <v>0.33333333333333331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3</v>
      </c>
      <c r="AJ26" s="171">
        <f t="shared" si="14"/>
        <v>0.33333333333333331</v>
      </c>
      <c r="AK26" s="348" t="str">
        <f t="shared" si="25"/>
        <v>TL</v>
      </c>
      <c r="AL26" s="168">
        <f t="shared" si="26"/>
        <v>7</v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351" t="str">
        <f t="shared" si="31"/>
        <v>1F</v>
      </c>
      <c r="AS26" s="351" t="str">
        <f t="shared" si="32"/>
        <v>1F</v>
      </c>
      <c r="AT26" s="351" t="str">
        <f t="shared" si="33"/>
        <v>1S</v>
      </c>
      <c r="AU26" s="350"/>
      <c r="AV26" s="351" t="str">
        <f t="shared" si="35"/>
        <v/>
      </c>
      <c r="AW26" s="351">
        <f t="shared" si="36"/>
        <v>0</v>
      </c>
      <c r="AX26" s="350"/>
      <c r="AY26" s="349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353" t="s">
        <v>164</v>
      </c>
      <c r="C27" s="200" t="s">
        <v>17</v>
      </c>
      <c r="D27" s="139"/>
      <c r="E27" s="139"/>
      <c r="F27" s="160"/>
      <c r="G27" s="173"/>
      <c r="H27" s="204" t="s">
        <v>17</v>
      </c>
      <c r="I27" s="204" t="s">
        <v>17</v>
      </c>
      <c r="J27" s="172"/>
      <c r="K27" s="172"/>
      <c r="L27" s="203" t="s">
        <v>15</v>
      </c>
      <c r="M27" s="163">
        <f t="shared" si="16"/>
        <v>3</v>
      </c>
      <c r="N27" s="164">
        <f t="shared" si="17"/>
        <v>5</v>
      </c>
      <c r="O27" s="164">
        <f t="shared" si="0"/>
        <v>3</v>
      </c>
      <c r="P27" s="164">
        <f t="shared" si="1"/>
        <v>3</v>
      </c>
      <c r="Q27" s="164">
        <f t="shared" si="18"/>
        <v>11</v>
      </c>
      <c r="R27" s="104" t="str">
        <f t="shared" si="2"/>
        <v/>
      </c>
      <c r="S27" s="104">
        <f t="shared" si="3"/>
        <v>1</v>
      </c>
      <c r="T27" s="104">
        <f t="shared" si="4"/>
        <v>1</v>
      </c>
      <c r="U27" s="104" t="str">
        <f t="shared" si="19"/>
        <v/>
      </c>
      <c r="V27" s="104" t="str">
        <f t="shared" si="5"/>
        <v/>
      </c>
      <c r="W27" s="104">
        <f t="shared" si="6"/>
        <v>1</v>
      </c>
      <c r="X27" s="104">
        <f t="shared" si="7"/>
        <v>3</v>
      </c>
      <c r="Y27" s="165" t="b">
        <f t="shared" si="8"/>
        <v>0</v>
      </c>
      <c r="Z27" s="165" t="b">
        <f t="shared" si="9"/>
        <v>0</v>
      </c>
      <c r="AA27" s="165">
        <f t="shared" si="10"/>
        <v>1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3</v>
      </c>
      <c r="AJ27" s="171">
        <f t="shared" si="14"/>
        <v>1</v>
      </c>
      <c r="AK27" s="348" t="str">
        <f t="shared" si="25"/>
        <v>TL</v>
      </c>
      <c r="AL27" s="168">
        <f t="shared" si="26"/>
        <v>7</v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351" t="str">
        <f t="shared" si="31"/>
        <v>1F</v>
      </c>
      <c r="AS27" s="351" t="str">
        <f t="shared" si="32"/>
        <v>1F</v>
      </c>
      <c r="AT27" s="351" t="str">
        <f t="shared" si="33"/>
        <v>1S</v>
      </c>
      <c r="AU27" s="350"/>
      <c r="AV27" s="351" t="str">
        <f t="shared" si="35"/>
        <v/>
      </c>
      <c r="AW27" s="351">
        <f t="shared" si="36"/>
        <v>0</v>
      </c>
      <c r="AX27" s="350"/>
      <c r="AY27" s="349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353"/>
      <c r="C28" s="200" t="s">
        <v>16</v>
      </c>
      <c r="D28" s="139"/>
      <c r="E28" s="139"/>
      <c r="F28" s="160"/>
      <c r="G28" s="173"/>
      <c r="H28" s="204" t="s">
        <v>15</v>
      </c>
      <c r="I28" s="204" t="s">
        <v>16</v>
      </c>
      <c r="J28" s="172"/>
      <c r="K28" s="172"/>
      <c r="L28" s="203" t="s">
        <v>16</v>
      </c>
      <c r="M28" s="163">
        <f t="shared" si="16"/>
        <v>3</v>
      </c>
      <c r="N28" s="164">
        <f t="shared" si="17"/>
        <v>4</v>
      </c>
      <c r="O28" s="164">
        <f t="shared" si="0"/>
        <v>5</v>
      </c>
      <c r="P28" s="164">
        <f t="shared" si="1"/>
        <v>4</v>
      </c>
      <c r="Q28" s="164">
        <f t="shared" si="18"/>
        <v>13</v>
      </c>
      <c r="R28" s="104" t="str">
        <f t="shared" si="2"/>
        <v/>
      </c>
      <c r="S28" s="104">
        <f t="shared" si="3"/>
        <v>1</v>
      </c>
      <c r="T28" s="104">
        <f t="shared" si="4"/>
        <v>1</v>
      </c>
      <c r="U28" s="104" t="str">
        <f t="shared" si="19"/>
        <v/>
      </c>
      <c r="V28" s="104" t="str">
        <f t="shared" si="5"/>
        <v/>
      </c>
      <c r="W28" s="104">
        <f t="shared" si="6"/>
        <v>1</v>
      </c>
      <c r="X28" s="104">
        <f t="shared" si="7"/>
        <v>3</v>
      </c>
      <c r="Y28" s="165" t="b">
        <f t="shared" si="8"/>
        <v>0</v>
      </c>
      <c r="Z28" s="165">
        <f t="shared" si="9"/>
        <v>1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>
        <f t="shared" si="13"/>
        <v>3</v>
      </c>
      <c r="AJ28" s="171">
        <f t="shared" si="14"/>
        <v>1</v>
      </c>
      <c r="AK28" s="348" t="str">
        <f t="shared" si="25"/>
        <v>Havo</v>
      </c>
      <c r="AL28" s="168">
        <f t="shared" si="26"/>
        <v>9</v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351" t="str">
        <f t="shared" si="31"/>
        <v>2F</v>
      </c>
      <c r="AS28" s="351" t="str">
        <f t="shared" si="32"/>
        <v>2F</v>
      </c>
      <c r="AT28" s="351" t="str">
        <f t="shared" si="33"/>
        <v>1S</v>
      </c>
      <c r="AU28" s="350"/>
      <c r="AV28" s="351" t="str">
        <f t="shared" si="35"/>
        <v/>
      </c>
      <c r="AW28" s="351">
        <f t="shared" si="36"/>
        <v>0</v>
      </c>
      <c r="AX28" s="350"/>
      <c r="AY28" s="349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353"/>
      <c r="C29" s="158"/>
      <c r="D29" s="139"/>
      <c r="E29" s="139"/>
      <c r="F29" s="160"/>
      <c r="G29" s="173"/>
      <c r="H29" s="172"/>
      <c r="I29" s="172"/>
      <c r="J29" s="172"/>
      <c r="K29" s="172"/>
      <c r="L29" s="203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348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351" t="str">
        <f t="shared" si="31"/>
        <v/>
      </c>
      <c r="AS29" s="351" t="str">
        <f t="shared" si="32"/>
        <v/>
      </c>
      <c r="AT29" s="351" t="str">
        <f t="shared" si="33"/>
        <v/>
      </c>
      <c r="AU29" s="350"/>
      <c r="AV29" s="351" t="str">
        <f t="shared" si="35"/>
        <v/>
      </c>
      <c r="AW29" s="351">
        <f t="shared" si="36"/>
        <v>0</v>
      </c>
      <c r="AX29" s="350"/>
      <c r="AY29" s="349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353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348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351" t="str">
        <f t="shared" si="31"/>
        <v/>
      </c>
      <c r="AS30" s="351" t="str">
        <f t="shared" si="32"/>
        <v/>
      </c>
      <c r="AT30" s="351" t="str">
        <f t="shared" si="33"/>
        <v/>
      </c>
      <c r="AU30" s="350"/>
      <c r="AV30" s="351" t="str">
        <f t="shared" si="35"/>
        <v/>
      </c>
      <c r="AW30" s="351">
        <f t="shared" si="36"/>
        <v>0</v>
      </c>
      <c r="AX30" s="350"/>
      <c r="AY30" s="349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353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348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351" t="str">
        <f t="shared" si="31"/>
        <v/>
      </c>
      <c r="AS31" s="351" t="str">
        <f t="shared" si="32"/>
        <v/>
      </c>
      <c r="AT31" s="351" t="str">
        <f t="shared" si="33"/>
        <v/>
      </c>
      <c r="AU31" s="350"/>
      <c r="AV31" s="351" t="str">
        <f t="shared" si="35"/>
        <v/>
      </c>
      <c r="AW31" s="351">
        <f t="shared" si="36"/>
        <v>0</v>
      </c>
      <c r="AX31" s="350"/>
      <c r="AY31" s="349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353"/>
      <c r="C32" s="200"/>
      <c r="D32" s="139"/>
      <c r="E32" s="139"/>
      <c r="F32" s="160"/>
      <c r="G32" s="173"/>
      <c r="H32" s="172"/>
      <c r="I32" s="172"/>
      <c r="J32" s="172"/>
      <c r="K32" s="172"/>
      <c r="L32" s="203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348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351" t="str">
        <f t="shared" si="31"/>
        <v/>
      </c>
      <c r="AS32" s="351" t="str">
        <f t="shared" si="32"/>
        <v/>
      </c>
      <c r="AT32" s="351" t="str">
        <f t="shared" si="33"/>
        <v/>
      </c>
      <c r="AU32" s="350"/>
      <c r="AV32" s="351" t="str">
        <f t="shared" si="35"/>
        <v/>
      </c>
      <c r="AW32" s="351">
        <f t="shared" si="36"/>
        <v>0</v>
      </c>
      <c r="AX32" s="350"/>
      <c r="AY32" s="349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353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348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351" t="str">
        <f t="shared" si="31"/>
        <v/>
      </c>
      <c r="AS33" s="351" t="str">
        <f t="shared" si="32"/>
        <v/>
      </c>
      <c r="AT33" s="351" t="str">
        <f t="shared" si="33"/>
        <v/>
      </c>
      <c r="AU33" s="350"/>
      <c r="AV33" s="351" t="str">
        <f t="shared" si="35"/>
        <v/>
      </c>
      <c r="AW33" s="351">
        <f t="shared" si="36"/>
        <v>0</v>
      </c>
      <c r="AX33" s="350"/>
      <c r="AY33" s="349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353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348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351" t="str">
        <f t="shared" si="31"/>
        <v/>
      </c>
      <c r="AS34" s="351" t="str">
        <f t="shared" si="32"/>
        <v/>
      </c>
      <c r="AT34" s="351" t="str">
        <f t="shared" si="33"/>
        <v/>
      </c>
      <c r="AU34" s="350"/>
      <c r="AV34" s="351" t="str">
        <f t="shared" si="35"/>
        <v/>
      </c>
      <c r="AW34" s="351">
        <f t="shared" si="36"/>
        <v>0</v>
      </c>
      <c r="AX34" s="350"/>
      <c r="AY34" s="349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353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348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351" t="str">
        <f t="shared" si="31"/>
        <v/>
      </c>
      <c r="AS35" s="351" t="str">
        <f t="shared" si="32"/>
        <v/>
      </c>
      <c r="AT35" s="351" t="str">
        <f t="shared" si="33"/>
        <v/>
      </c>
      <c r="AU35" s="350"/>
      <c r="AV35" s="351" t="str">
        <f t="shared" si="35"/>
        <v/>
      </c>
      <c r="AW35" s="351">
        <f t="shared" si="36"/>
        <v>0</v>
      </c>
      <c r="AX35" s="350"/>
      <c r="AY35" s="349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353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348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351" t="str">
        <f t="shared" si="31"/>
        <v/>
      </c>
      <c r="AS36" s="351" t="str">
        <f t="shared" si="32"/>
        <v/>
      </c>
      <c r="AT36" s="351" t="str">
        <f t="shared" si="33"/>
        <v/>
      </c>
      <c r="AU36" s="350"/>
      <c r="AV36" s="351" t="str">
        <f t="shared" si="35"/>
        <v/>
      </c>
      <c r="AW36" s="351">
        <f t="shared" si="36"/>
        <v>0</v>
      </c>
      <c r="AX36" s="350"/>
      <c r="AY36" s="349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353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348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351" t="str">
        <f t="shared" si="31"/>
        <v/>
      </c>
      <c r="AS37" s="351" t="str">
        <f t="shared" si="32"/>
        <v/>
      </c>
      <c r="AT37" s="351" t="str">
        <f t="shared" si="33"/>
        <v/>
      </c>
      <c r="AU37" s="350"/>
      <c r="AV37" s="351" t="str">
        <f t="shared" si="35"/>
        <v/>
      </c>
      <c r="AW37" s="351">
        <f t="shared" si="36"/>
        <v>0</v>
      </c>
      <c r="AX37" s="350"/>
      <c r="AY37" s="349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200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348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351" t="str">
        <f t="shared" si="31"/>
        <v/>
      </c>
      <c r="AS38" s="351" t="str">
        <f t="shared" si="32"/>
        <v/>
      </c>
      <c r="AT38" s="351" t="str">
        <f t="shared" si="33"/>
        <v/>
      </c>
      <c r="AU38" s="350"/>
      <c r="AV38" s="351" t="str">
        <f t="shared" si="35"/>
        <v/>
      </c>
      <c r="AW38" s="351">
        <f t="shared" si="36"/>
        <v>0</v>
      </c>
      <c r="AX38" s="350"/>
      <c r="AY38" s="349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348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351" t="str">
        <f t="shared" si="31"/>
        <v/>
      </c>
      <c r="AS39" s="351" t="str">
        <f t="shared" si="32"/>
        <v/>
      </c>
      <c r="AT39" s="351" t="str">
        <f t="shared" si="33"/>
        <v/>
      </c>
      <c r="AU39" s="350"/>
      <c r="AV39" s="351" t="str">
        <f t="shared" si="35"/>
        <v/>
      </c>
      <c r="AW39" s="351">
        <f t="shared" si="36"/>
        <v>0</v>
      </c>
      <c r="AX39" s="350"/>
      <c r="AY39" s="349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348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351" t="str">
        <f t="shared" si="31"/>
        <v/>
      </c>
      <c r="AS40" s="351" t="str">
        <f t="shared" si="32"/>
        <v/>
      </c>
      <c r="AT40" s="351" t="str">
        <f t="shared" si="33"/>
        <v/>
      </c>
      <c r="AU40" s="350"/>
      <c r="AV40" s="351" t="str">
        <f t="shared" si="35"/>
        <v/>
      </c>
      <c r="AW40" s="351">
        <f t="shared" si="36"/>
        <v>0</v>
      </c>
      <c r="AX40" s="350"/>
      <c r="AY40" s="349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348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351" t="str">
        <f t="shared" si="31"/>
        <v/>
      </c>
      <c r="AS41" s="351" t="str">
        <f t="shared" si="32"/>
        <v/>
      </c>
      <c r="AT41" s="351" t="str">
        <f t="shared" si="33"/>
        <v/>
      </c>
      <c r="AU41" s="350"/>
      <c r="AV41" s="351" t="str">
        <f t="shared" si="35"/>
        <v/>
      </c>
      <c r="AW41" s="351">
        <f t="shared" si="36"/>
        <v>0</v>
      </c>
      <c r="AX41" s="350"/>
      <c r="AY41" s="349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348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351" t="str">
        <f t="shared" si="31"/>
        <v/>
      </c>
      <c r="AS42" s="351" t="str">
        <f t="shared" si="32"/>
        <v/>
      </c>
      <c r="AT42" s="351" t="str">
        <f t="shared" si="33"/>
        <v/>
      </c>
      <c r="AU42" s="350"/>
      <c r="AV42" s="351" t="str">
        <f t="shared" si="35"/>
        <v/>
      </c>
      <c r="AW42" s="351">
        <f t="shared" si="36"/>
        <v>0</v>
      </c>
      <c r="AX42" s="350"/>
      <c r="AY42" s="349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348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351" t="str">
        <f t="shared" si="31"/>
        <v/>
      </c>
      <c r="AS43" s="351" t="str">
        <f t="shared" si="32"/>
        <v/>
      </c>
      <c r="AT43" s="351" t="str">
        <f t="shared" si="33"/>
        <v/>
      </c>
      <c r="AU43" s="350"/>
      <c r="AV43" s="351" t="str">
        <f t="shared" si="35"/>
        <v/>
      </c>
      <c r="AW43" s="351">
        <f t="shared" si="36"/>
        <v>0</v>
      </c>
      <c r="AX43" s="350"/>
      <c r="AY43" s="349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348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351" t="str">
        <f t="shared" si="31"/>
        <v/>
      </c>
      <c r="AS44" s="351" t="str">
        <f t="shared" si="32"/>
        <v/>
      </c>
      <c r="AT44" s="351" t="str">
        <f t="shared" si="33"/>
        <v/>
      </c>
      <c r="AU44" s="350"/>
      <c r="AV44" s="351" t="str">
        <f t="shared" si="35"/>
        <v/>
      </c>
      <c r="AW44" s="351">
        <f t="shared" si="36"/>
        <v>0</v>
      </c>
      <c r="AX44" s="350"/>
      <c r="AY44" s="349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348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351" t="str">
        <f t="shared" si="31"/>
        <v/>
      </c>
      <c r="AS45" s="351" t="str">
        <f t="shared" si="32"/>
        <v/>
      </c>
      <c r="AT45" s="351" t="str">
        <f t="shared" si="33"/>
        <v/>
      </c>
      <c r="AU45" s="350"/>
      <c r="AV45" s="351" t="str">
        <f t="shared" si="35"/>
        <v/>
      </c>
      <c r="AW45" s="351">
        <f t="shared" si="36"/>
        <v>0</v>
      </c>
      <c r="AX45" s="350"/>
      <c r="AY45" s="349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348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351" t="str">
        <f t="shared" si="31"/>
        <v/>
      </c>
      <c r="AS46" s="351" t="str">
        <f t="shared" si="32"/>
        <v/>
      </c>
      <c r="AT46" s="351" t="str">
        <f t="shared" si="33"/>
        <v/>
      </c>
      <c r="AU46" s="350"/>
      <c r="AV46" s="351" t="str">
        <f t="shared" si="35"/>
        <v/>
      </c>
      <c r="AW46" s="351">
        <f t="shared" si="36"/>
        <v>0</v>
      </c>
      <c r="AX46" s="350"/>
      <c r="AY46" s="349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200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348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351" t="str">
        <f t="shared" si="31"/>
        <v/>
      </c>
      <c r="AS47" s="351" t="str">
        <f t="shared" si="32"/>
        <v/>
      </c>
      <c r="AT47" s="351" t="str">
        <f t="shared" si="33"/>
        <v/>
      </c>
      <c r="AU47" s="350"/>
      <c r="AV47" s="351" t="str">
        <f t="shared" si="35"/>
        <v/>
      </c>
      <c r="AW47" s="351">
        <f t="shared" si="36"/>
        <v>0</v>
      </c>
      <c r="AX47" s="350"/>
      <c r="AY47" s="349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348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351" t="str">
        <f t="shared" si="31"/>
        <v/>
      </c>
      <c r="AS48" s="351" t="str">
        <f t="shared" si="32"/>
        <v/>
      </c>
      <c r="AT48" s="351" t="str">
        <f t="shared" si="33"/>
        <v/>
      </c>
      <c r="AU48" s="350"/>
      <c r="AV48" s="351" t="str">
        <f t="shared" si="35"/>
        <v/>
      </c>
      <c r="AW48" s="351">
        <f t="shared" si="36"/>
        <v>0</v>
      </c>
      <c r="AX48" s="350"/>
      <c r="AY48" s="349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348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351" t="str">
        <f t="shared" si="31"/>
        <v/>
      </c>
      <c r="AS49" s="351" t="str">
        <f t="shared" si="32"/>
        <v/>
      </c>
      <c r="AT49" s="351" t="str">
        <f t="shared" si="33"/>
        <v/>
      </c>
      <c r="AU49" s="350"/>
      <c r="AV49" s="351" t="str">
        <f t="shared" si="35"/>
        <v/>
      </c>
      <c r="AW49" s="351">
        <f t="shared" si="36"/>
        <v>0</v>
      </c>
      <c r="AX49" s="350"/>
      <c r="AY49" s="349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348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351" t="str">
        <f t="shared" si="31"/>
        <v/>
      </c>
      <c r="AS50" s="351" t="str">
        <f t="shared" si="32"/>
        <v/>
      </c>
      <c r="AT50" s="351" t="str">
        <f t="shared" si="33"/>
        <v/>
      </c>
      <c r="AU50" s="350"/>
      <c r="AV50" s="351" t="str">
        <f t="shared" si="35"/>
        <v/>
      </c>
      <c r="AW50" s="351">
        <f t="shared" si="36"/>
        <v>0</v>
      </c>
      <c r="AX50" s="350"/>
      <c r="AY50" s="349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348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351" t="str">
        <f t="shared" si="31"/>
        <v/>
      </c>
      <c r="AS51" s="351" t="str">
        <f t="shared" si="32"/>
        <v/>
      </c>
      <c r="AT51" s="351" t="str">
        <f t="shared" si="33"/>
        <v/>
      </c>
      <c r="AU51" s="350"/>
      <c r="AV51" s="351" t="str">
        <f t="shared" si="35"/>
        <v/>
      </c>
      <c r="AW51" s="351">
        <f t="shared" si="36"/>
        <v>0</v>
      </c>
      <c r="AX51" s="350"/>
      <c r="AY51" s="349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200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348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351" t="str">
        <f t="shared" si="31"/>
        <v/>
      </c>
      <c r="AS52" s="351" t="str">
        <f t="shared" si="32"/>
        <v/>
      </c>
      <c r="AT52" s="351" t="str">
        <f t="shared" si="33"/>
        <v/>
      </c>
      <c r="AU52" s="350"/>
      <c r="AV52" s="351" t="str">
        <f t="shared" si="35"/>
        <v/>
      </c>
      <c r="AW52" s="351">
        <f t="shared" si="36"/>
        <v>0</v>
      </c>
      <c r="AX52" s="350"/>
      <c r="AY52" s="349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348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351" t="str">
        <f t="shared" si="31"/>
        <v/>
      </c>
      <c r="AS53" s="351" t="str">
        <f t="shared" si="32"/>
        <v/>
      </c>
      <c r="AT53" s="351" t="str">
        <f t="shared" si="33"/>
        <v/>
      </c>
      <c r="AU53" s="350"/>
      <c r="AV53" s="351" t="str">
        <f t="shared" si="35"/>
        <v/>
      </c>
      <c r="AW53" s="351">
        <f t="shared" si="36"/>
        <v>0</v>
      </c>
      <c r="AX53" s="350"/>
      <c r="AY53" s="349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64" t="s">
        <v>47</v>
      </c>
      <c r="D54" s="264"/>
      <c r="E54" s="264"/>
      <c r="F54" s="264"/>
      <c r="G54" s="179" t="str">
        <f t="shared" ref="G54:L54" si="37">IF(R56=0,"",IF(R56&gt;0,R55))</f>
        <v/>
      </c>
      <c r="H54" s="180">
        <f t="shared" si="37"/>
        <v>0.54545454545454541</v>
      </c>
      <c r="I54" s="180">
        <f t="shared" si="37"/>
        <v>0.72727272727272729</v>
      </c>
      <c r="J54" s="180" t="str">
        <f t="shared" si="37"/>
        <v/>
      </c>
      <c r="K54" s="180" t="str">
        <f t="shared" si="37"/>
        <v/>
      </c>
      <c r="L54" s="180">
        <f t="shared" si="37"/>
        <v>0.90909090909090906</v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6</v>
      </c>
      <c r="T54" s="181">
        <f t="shared" si="38"/>
        <v>8</v>
      </c>
      <c r="U54" s="181">
        <f t="shared" si="38"/>
        <v>0</v>
      </c>
      <c r="V54" s="181">
        <f t="shared" si="38"/>
        <v>0</v>
      </c>
      <c r="W54" s="181">
        <f t="shared" si="38"/>
        <v>10</v>
      </c>
      <c r="X54" s="182">
        <f>SUM(AJ18:AJ53)</f>
        <v>8</v>
      </c>
      <c r="Y54" s="182">
        <f t="shared" ref="Y54:AH54" si="39">SUM(Y18:Y53)</f>
        <v>0.66666666666666663</v>
      </c>
      <c r="Z54" s="182">
        <f t="shared" si="39"/>
        <v>2</v>
      </c>
      <c r="AA54" s="182">
        <f t="shared" si="39"/>
        <v>3.6666666666666665</v>
      </c>
      <c r="AB54" s="182">
        <f t="shared" si="39"/>
        <v>1.6666666666666665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352">
        <f>IF(X57=0,"",IF(X57&gt;0,$X$55))</f>
        <v>0.72727272727272729</v>
      </c>
      <c r="AK54" s="352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354" t="s">
        <v>118</v>
      </c>
      <c r="AS54" s="354" t="s">
        <v>118</v>
      </c>
      <c r="AT54" s="354" t="s">
        <v>119</v>
      </c>
      <c r="AU54" s="355" t="str">
        <f>IF(AW54=0,"",IF(AW54&gt;0,AW54/AU55))</f>
        <v/>
      </c>
      <c r="AV54" s="356"/>
      <c r="AW54" s="356">
        <f>SUM(AW18:AW53)</f>
        <v>0</v>
      </c>
      <c r="AX54" s="355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71" t="s">
        <v>85</v>
      </c>
      <c r="H55" s="265"/>
      <c r="I55" s="271" t="s">
        <v>31</v>
      </c>
      <c r="J55" s="265"/>
      <c r="K55" s="265" t="s">
        <v>32</v>
      </c>
      <c r="L55" s="26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>
        <f t="shared" si="40"/>
        <v>0.54545454545454541</v>
      </c>
      <c r="T55" s="189">
        <f t="shared" si="40"/>
        <v>0.72727272727272729</v>
      </c>
      <c r="U55" s="189" t="e">
        <f t="shared" si="40"/>
        <v>#DIV/0!</v>
      </c>
      <c r="V55" s="189" t="e">
        <f t="shared" si="40"/>
        <v>#DIV/0!</v>
      </c>
      <c r="W55" s="189">
        <f t="shared" si="40"/>
        <v>0.90909090909090906</v>
      </c>
      <c r="X55" s="189">
        <f>X54/X57</f>
        <v>0.72727272727272729</v>
      </c>
      <c r="Y55" s="165">
        <f>Y54/10</f>
        <v>6.6666666666666666E-2</v>
      </c>
      <c r="Z55" s="165">
        <f t="shared" ref="Z55:AH55" si="41">Z54/10</f>
        <v>0.2</v>
      </c>
      <c r="AA55" s="165">
        <f t="shared" si="41"/>
        <v>0.36666666666666664</v>
      </c>
      <c r="AB55" s="165">
        <f t="shared" si="41"/>
        <v>0.16666666666666666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0.90909090909090906</v>
      </c>
      <c r="AS55" s="129">
        <f>IF($C$2&lt;6,"",IF($C$2&gt;=6,(AS58+AS59)/AS57))</f>
        <v>1</v>
      </c>
      <c r="AT55" s="129">
        <f>IF($C$2&lt;6,"",IF($C$2&gt;=6,(AT58+AT59)/AT57))</f>
        <v>1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11</v>
      </c>
      <c r="T56" s="3">
        <f t="shared" si="42"/>
        <v>11</v>
      </c>
      <c r="U56" s="3">
        <f t="shared" si="42"/>
        <v>0</v>
      </c>
      <c r="V56" s="3">
        <f t="shared" si="42"/>
        <v>0</v>
      </c>
      <c r="W56" s="3">
        <f t="shared" si="42"/>
        <v>11</v>
      </c>
      <c r="X56" s="3">
        <f>COUNTIF(AJ18:AJ53,"")</f>
        <v>25</v>
      </c>
      <c r="Y56" s="10">
        <f>Y54/C68*C70</f>
        <v>6.6666666666666666E-2</v>
      </c>
      <c r="Z56" s="10">
        <f>Z54/D68*D70</f>
        <v>0.2</v>
      </c>
      <c r="AA56" s="10">
        <f>AA54/E68*E70</f>
        <v>0.3666666666666667</v>
      </c>
      <c r="AB56" s="10">
        <f>AB54/F68*F70</f>
        <v>0.16666666666666666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129">
        <f>IF($C$2&lt;6,"",IF($C$2&gt;=6,(AR59/AR57)))</f>
        <v>0.54545454545454541</v>
      </c>
      <c r="AS56" s="129">
        <f>IF($C$2&lt;6,"",IF($C$2&gt;=6,(AS59/AS57)))</f>
        <v>0.45454545454545453</v>
      </c>
      <c r="AT56" s="129">
        <f>IF($C$2&lt;6,"",IF($C$2&gt;=6,(AT59/AT57)))</f>
        <v>0.81818181818181823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8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11</v>
      </c>
      <c r="AD57" s="3"/>
      <c r="AN57" s="3"/>
      <c r="AO57" s="3"/>
      <c r="AP57" s="2"/>
      <c r="AQ57" s="3"/>
      <c r="AR57" s="77">
        <f t="shared" ref="AR57:AS57" si="43">COUNTIF(AR18:AR53,"&gt;""")</f>
        <v>11</v>
      </c>
      <c r="AS57" s="77">
        <f t="shared" si="43"/>
        <v>11</v>
      </c>
      <c r="AT57" s="77">
        <f>COUNTIF(AT18:AT53,"&gt;""")</f>
        <v>11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60">
        <f>C3</f>
        <v>45692</v>
      </c>
      <c r="D58" s="26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4</v>
      </c>
      <c r="AS58" s="103">
        <f t="shared" ref="AS58:AT58" si="44">COUNTIF(AS18:AS53,"1F")</f>
        <v>6</v>
      </c>
      <c r="AT58" s="103">
        <f t="shared" si="44"/>
        <v>2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6</v>
      </c>
      <c r="AS59" s="103">
        <f t="shared" ref="AS59" si="45">COUNTIF(AS18:AS53,"2F")</f>
        <v>5</v>
      </c>
      <c r="AT59" s="103">
        <f>COUNTIF(AT18:AT53,"1S")</f>
        <v>9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>
        <f t="shared" si="46"/>
        <v>0.54545454545454541</v>
      </c>
      <c r="E63" s="10">
        <f t="shared" si="46"/>
        <v>0.72727272727272729</v>
      </c>
      <c r="F63" s="10" t="e">
        <f t="shared" si="46"/>
        <v>#DIV/0!</v>
      </c>
      <c r="G63" s="10" t="e">
        <f t="shared" si="46"/>
        <v>#DIV/0!</v>
      </c>
      <c r="H63" s="10">
        <f t="shared" si="46"/>
        <v>0.90909090909090906</v>
      </c>
      <c r="I63" s="10">
        <f>$AJ$54</f>
        <v>0.72727272727272729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2</v>
      </c>
      <c r="E68" s="4">
        <f>COUNTIF($C$18:$C$53,"C")</f>
        <v>4</v>
      </c>
      <c r="F68" s="4">
        <f>COUNTIF($C$18:$C$53,"D")</f>
        <v>2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0.3</v>
      </c>
      <c r="D70" s="10">
        <f>D68/$B$54</f>
        <v>0.2</v>
      </c>
      <c r="E70" s="10">
        <f>E68/$B$54</f>
        <v>0.4</v>
      </c>
      <c r="F70" s="10">
        <f>F68/$B$54</f>
        <v>0.2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6.6666666666666666E-2</v>
      </c>
      <c r="D71" s="10">
        <f>Z56</f>
        <v>0.2</v>
      </c>
      <c r="E71" s="10">
        <f>AA56</f>
        <v>0.3666666666666667</v>
      </c>
      <c r="F71" s="10">
        <f>AB56</f>
        <v>0.16666666666666666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0.3</v>
      </c>
      <c r="D74" s="10">
        <f>IF($D$7="ja",D70,IF($D7="nee",D72))</f>
        <v>0.2</v>
      </c>
      <c r="E74" s="10">
        <f>IF($D$7="ja",E70,IF($D7="nee",E72))</f>
        <v>0.4</v>
      </c>
      <c r="F74" s="10">
        <f>IF($D$7="ja",F70,IF($D7="nee",F72))</f>
        <v>0.2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6.6666666666666666E-2</v>
      </c>
      <c r="D75" s="10">
        <f>IF($D$7="ja",D71,IF($D$7="nee",D73))</f>
        <v>0.2</v>
      </c>
      <c r="E75" s="10">
        <f>IF($D$7="ja",E71,IF($D$7="nee",E73))</f>
        <v>0.3666666666666667</v>
      </c>
      <c r="F75" s="10">
        <f>IF($D$7="ja",F71,IF($D$7="nee",F73))</f>
        <v>0.16666666666666666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C18:C53">
    <cfRule type="cellIs" dxfId="184" priority="165" stopIfTrue="1" operator="equal">
      <formula>""</formula>
    </cfRule>
  </conditionalFormatting>
  <conditionalFormatting sqref="D7:D8 C9">
    <cfRule type="cellIs" dxfId="183" priority="201" stopIfTrue="1" operator="equal">
      <formula>"nee"</formula>
    </cfRule>
    <cfRule type="cellIs" dxfId="182" priority="200" stopIfTrue="1" operator="equal">
      <formula>"ja"</formula>
    </cfRule>
  </conditionalFormatting>
  <conditionalFormatting sqref="D18:D53">
    <cfRule type="cellIs" dxfId="181" priority="219" stopIfTrue="1" operator="equal">
      <formula>""</formula>
    </cfRule>
  </conditionalFormatting>
  <conditionalFormatting sqref="D18:E53">
    <cfRule type="cellIs" dxfId="180" priority="217" stopIfTrue="1" operator="equal">
      <formula>"x"</formula>
    </cfRule>
  </conditionalFormatting>
  <conditionalFormatting sqref="E18:E53">
    <cfRule type="cellIs" dxfId="179" priority="218" stopIfTrue="1" operator="equal">
      <formula>""</formula>
    </cfRule>
  </conditionalFormatting>
  <conditionalFormatting sqref="F11:F13">
    <cfRule type="expression" dxfId="178" priority="207" stopIfTrue="1">
      <formula>$K$3="ja"</formula>
    </cfRule>
    <cfRule type="expression" dxfId="177" priority="206" stopIfTrue="1">
      <formula>$I$3="ja"</formula>
    </cfRule>
  </conditionalFormatting>
  <conditionalFormatting sqref="F18:F53">
    <cfRule type="cellIs" dxfId="176" priority="145" stopIfTrue="1" operator="equal">
      <formula>""</formula>
    </cfRule>
    <cfRule type="cellIs" dxfId="175" priority="146" stopIfTrue="1" operator="greaterThan">
      <formula>""</formula>
    </cfRule>
  </conditionalFormatting>
  <conditionalFormatting sqref="G11:G13">
    <cfRule type="expression" dxfId="174" priority="209" stopIfTrue="1">
      <formula>$K$2="ja"</formula>
    </cfRule>
    <cfRule type="expression" dxfId="173" priority="208" stopIfTrue="1">
      <formula>$I$2="ja"</formula>
    </cfRule>
    <cfRule type="expression" dxfId="172" priority="182">
      <formula>$J$2="ja"</formula>
    </cfRule>
  </conditionalFormatting>
  <conditionalFormatting sqref="G18:L53">
    <cfRule type="cellIs" dxfId="171" priority="191" stopIfTrue="1" operator="equal">
      <formula>0</formula>
    </cfRule>
    <cfRule type="cellIs" dxfId="170" priority="193" stopIfTrue="1" operator="notEqual">
      <formula>$C18</formula>
    </cfRule>
    <cfRule type="cellIs" dxfId="169" priority="192" stopIfTrue="1" operator="lessThanOrEqual">
      <formula>$C18</formula>
    </cfRule>
  </conditionalFormatting>
  <conditionalFormatting sqref="H11:H13">
    <cfRule type="expression" dxfId="168" priority="210" stopIfTrue="1">
      <formula>$I$3="ja"</formula>
    </cfRule>
  </conditionalFormatting>
  <conditionalFormatting sqref="H11:I13">
    <cfRule type="expression" dxfId="167" priority="177">
      <formula>$L$2="ja"</formula>
    </cfRule>
  </conditionalFormatting>
  <conditionalFormatting sqref="H11:J13">
    <cfRule type="expression" dxfId="166" priority="174">
      <formula>$K$3="ja"</formula>
    </cfRule>
  </conditionalFormatting>
  <conditionalFormatting sqref="I11:I13">
    <cfRule type="expression" dxfId="165" priority="183">
      <formula>$K$2="ja"</formula>
    </cfRule>
    <cfRule type="expression" dxfId="164" priority="181">
      <formula>$J$2="ja"</formula>
    </cfRule>
  </conditionalFormatting>
  <conditionalFormatting sqref="I11:Q13">
    <cfRule type="expression" dxfId="163" priority="118">
      <formula>$I$3="ja"</formula>
    </cfRule>
  </conditionalFormatting>
  <conditionalFormatting sqref="K11:Q13">
    <cfRule type="expression" dxfId="162" priority="117">
      <formula>$J$2="ja"</formula>
    </cfRule>
    <cfRule type="expression" dxfId="161" priority="119" stopIfTrue="1">
      <formula>$K$2="ja"</formula>
    </cfRule>
    <cfRule type="expression" dxfId="160" priority="120" stopIfTrue="1">
      <formula>$L$2="ja"</formula>
    </cfRule>
    <cfRule type="expression" dxfId="159" priority="121" stopIfTrue="1">
      <formula>$R$2="ja"</formula>
    </cfRule>
  </conditionalFormatting>
  <conditionalFormatting sqref="AI18:AI53">
    <cfRule type="cellIs" dxfId="158" priority="214" stopIfTrue="1" operator="notEqual">
      <formula>""</formula>
    </cfRule>
  </conditionalFormatting>
  <conditionalFormatting sqref="AJ11:AK13">
    <cfRule type="cellIs" dxfId="157" priority="109" stopIfTrue="1" operator="equal">
      <formula>1</formula>
    </cfRule>
    <cfRule type="cellIs" dxfId="156" priority="110" stopIfTrue="1" operator="lessThan">
      <formula>1</formula>
    </cfRule>
  </conditionalFormatting>
  <conditionalFormatting sqref="AL18:AM53 AY18:AZ53">
    <cfRule type="expression" dxfId="155" priority="142" stopIfTrue="1">
      <formula>$K$3="ja"</formula>
    </cfRule>
  </conditionalFormatting>
  <conditionalFormatting sqref="AN18:AN53">
    <cfRule type="cellIs" dxfId="154" priority="167" stopIfTrue="1" operator="equal">
      <formula>""</formula>
    </cfRule>
    <cfRule type="cellIs" dxfId="153" priority="166" stopIfTrue="1" operator="equal">
      <formula>1</formula>
    </cfRule>
  </conditionalFormatting>
  <conditionalFormatting sqref="AO18:AO53">
    <cfRule type="cellIs" dxfId="152" priority="168" stopIfTrue="1" operator="equal">
      <formula>1</formula>
    </cfRule>
    <cfRule type="cellIs" dxfId="151" priority="169" stopIfTrue="1" operator="equal">
      <formula>""</formula>
    </cfRule>
  </conditionalFormatting>
  <conditionalFormatting sqref="AZ54">
    <cfRule type="expression" dxfId="150" priority="203" stopIfTrue="1">
      <formula>$K$3="ja"</formula>
    </cfRule>
  </conditionalFormatting>
  <conditionalFormatting sqref="AZ54">
    <cfRule type="expression" dxfId="149" priority="202" stopIfTrue="1">
      <formula>$I$3="ja"</formula>
    </cfRule>
  </conditionalFormatting>
  <conditionalFormatting sqref="B18:B53">
    <cfRule type="cellIs" dxfId="148" priority="77" stopIfTrue="1" operator="equal">
      <formula>""</formula>
    </cfRule>
  </conditionalFormatting>
  <conditionalFormatting sqref="AK18:AK53">
    <cfRule type="expression" dxfId="147" priority="73">
      <formula>$F18=""</formula>
    </cfRule>
    <cfRule type="expression" dxfId="146" priority="74">
      <formula>$AL18=""</formula>
    </cfRule>
    <cfRule type="expression" dxfId="145" priority="75">
      <formula>$AL18&lt;$AQ18</formula>
    </cfRule>
    <cfRule type="expression" dxfId="144" priority="76">
      <formula>$AL18&gt;=$AQ18</formula>
    </cfRule>
  </conditionalFormatting>
  <conditionalFormatting sqref="AK18:AK54">
    <cfRule type="expression" dxfId="111" priority="70">
      <formula>$B18&gt;0</formula>
    </cfRule>
  </conditionalFormatting>
  <conditionalFormatting sqref="AP18:AP53">
    <cfRule type="cellIs" dxfId="143" priority="54" stopIfTrue="1" operator="equal">
      <formula>"x"</formula>
    </cfRule>
    <cfRule type="expression" dxfId="142" priority="55" stopIfTrue="1">
      <formula>$B18&gt;0</formula>
    </cfRule>
    <cfRule type="cellIs" dxfId="141" priority="56" stopIfTrue="1" operator="equal">
      <formula>""</formula>
    </cfRule>
  </conditionalFormatting>
  <conditionalFormatting sqref="AQ18:AQ54">
    <cfRule type="expression" dxfId="140" priority="53" stopIfTrue="1">
      <formula>$K$3="ja"</formula>
    </cfRule>
  </conditionalFormatting>
  <conditionalFormatting sqref="AQ54">
    <cfRule type="expression" dxfId="139" priority="41" stopIfTrue="1">
      <formula>$I$3="ja"</formula>
    </cfRule>
  </conditionalFormatting>
  <conditionalFormatting sqref="AR54:AX54">
    <cfRule type="expression" dxfId="138" priority="16" stopIfTrue="1">
      <formula>$I$3="ja"</formula>
    </cfRule>
  </conditionalFormatting>
  <conditionalFormatting sqref="AR11:AR13">
    <cfRule type="expression" dxfId="137" priority="22" stopIfTrue="1">
      <formula>$I$3="ja"</formula>
    </cfRule>
  </conditionalFormatting>
  <conditionalFormatting sqref="AR11:AS13">
    <cfRule type="expression" dxfId="136" priority="24">
      <formula>$L$2="ja"</formula>
    </cfRule>
    <cfRule type="expression" dxfId="135" priority="25">
      <formula>$K$3="ja"</formula>
    </cfRule>
  </conditionalFormatting>
  <conditionalFormatting sqref="AR54:AT54">
    <cfRule type="expression" dxfId="134" priority="15" stopIfTrue="1">
      <formula>$K$3="ja"</formula>
    </cfRule>
  </conditionalFormatting>
  <conditionalFormatting sqref="AS11:AS13">
    <cfRule type="expression" dxfId="133" priority="23">
      <formula>$K$2="ja"</formula>
    </cfRule>
  </conditionalFormatting>
  <conditionalFormatting sqref="AS11:AT13">
    <cfRule type="expression" dxfId="132" priority="17">
      <formula>$J$2="ja"</formula>
    </cfRule>
  </conditionalFormatting>
  <conditionalFormatting sqref="AS11:AU13">
    <cfRule type="expression" dxfId="131" priority="18">
      <formula>$I$3="ja"</formula>
    </cfRule>
  </conditionalFormatting>
  <conditionalFormatting sqref="AT11:AT13">
    <cfRule type="expression" dxfId="130" priority="19" stopIfTrue="1">
      <formula>$K$2="ja"</formula>
    </cfRule>
    <cfRule type="expression" dxfId="129" priority="20" stopIfTrue="1">
      <formula>$L$2="ja"</formula>
    </cfRule>
    <cfRule type="expression" dxfId="128" priority="21" stopIfTrue="1">
      <formula>$R$2="ja"</formula>
    </cfRule>
  </conditionalFormatting>
  <conditionalFormatting sqref="AU11:AU13 AX11:AX13">
    <cfRule type="expression" dxfId="127" priority="27" stopIfTrue="1">
      <formula>$K$3="ja"</formula>
    </cfRule>
  </conditionalFormatting>
  <conditionalFormatting sqref="AU54:AX54">
    <cfRule type="expression" dxfId="126" priority="26" stopIfTrue="1">
      <formula>$K$3="ja"</formula>
    </cfRule>
  </conditionalFormatting>
  <conditionalFormatting sqref="AR18:AS53">
    <cfRule type="cellIs" dxfId="125" priority="3" operator="equal">
      <formula>"2F"</formula>
    </cfRule>
  </conditionalFormatting>
  <conditionalFormatting sqref="AR18:AT53">
    <cfRule type="cellIs" dxfId="124" priority="5" operator="equal">
      <formula>"&lt;1F"</formula>
    </cfRule>
    <cfRule type="cellIs" dxfId="123" priority="6" operator="equal">
      <formula>"1F"</formula>
    </cfRule>
    <cfRule type="expression" dxfId="122" priority="7" stopIfTrue="1">
      <formula>$K$3="ja"</formula>
    </cfRule>
  </conditionalFormatting>
  <conditionalFormatting sqref="AT18:AT53">
    <cfRule type="cellIs" dxfId="121" priority="4" operator="equal">
      <formula>"1S"</formula>
    </cfRule>
  </conditionalFormatting>
  <conditionalFormatting sqref="AU18:AU53">
    <cfRule type="expression" dxfId="120" priority="11">
      <formula>$AV18=""</formula>
    </cfRule>
    <cfRule type="expression" dxfId="119" priority="12">
      <formula>$AV18&lt;$AQ18</formula>
    </cfRule>
    <cfRule type="expression" dxfId="118" priority="13">
      <formula>$AV18&gt;=$AQ18</formula>
    </cfRule>
  </conditionalFormatting>
  <conditionalFormatting sqref="AV18:AW53">
    <cfRule type="expression" dxfId="117" priority="14" stopIfTrue="1">
      <formula>$K$3="ja"</formula>
    </cfRule>
  </conditionalFormatting>
  <conditionalFormatting sqref="AX18:AX53">
    <cfRule type="expression" dxfId="116" priority="8">
      <formula>$AY18=""</formula>
    </cfRule>
    <cfRule type="expression" dxfId="115" priority="9">
      <formula>$AY18&lt;$AV18</formula>
    </cfRule>
    <cfRule type="expression" dxfId="114" priority="10">
      <formula>$AY18&gt;=$AV18</formula>
    </cfRule>
  </conditionalFormatting>
  <conditionalFormatting sqref="AJ18:AJ53">
    <cfRule type="cellIs" dxfId="113" priority="1" stopIfTrue="1" operator="equal">
      <formula>1</formula>
    </cfRule>
    <cfRule type="cellIs" dxfId="112" priority="2" stopIfTrue="1" operator="lessThan">
      <formula>1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FB6D6E81-3633-442D-A35F-911567472D97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B9CB-5E2A-4022-B128-BB32F8476A60}">
  <sheetPr>
    <tabColor rgb="FFCC00FF"/>
    <pageSetUpPr fitToPage="1"/>
  </sheetPr>
  <dimension ref="A2:AD54"/>
  <sheetViews>
    <sheetView showGridLines="0" showRowColHeaders="0" zoomScale="65" zoomScaleNormal="65" workbookViewId="0">
      <selection activeCell="B18" sqref="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74" t="s">
        <v>128</v>
      </c>
      <c r="B2" s="275"/>
      <c r="D2" s="276" t="s">
        <v>127</v>
      </c>
      <c r="E2" s="276"/>
      <c r="F2" s="220"/>
      <c r="G2" s="220"/>
      <c r="H2" s="219">
        <v>8</v>
      </c>
      <c r="I2" s="277" t="str">
        <f>VLOOKUP($H$2,'groep 8'!A18:B53,2)</f>
        <v>leerling 8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9"/>
      <c r="Z2" s="234" t="s">
        <v>126</v>
      </c>
      <c r="AA2" s="237">
        <f>'groep 8'!$C$2</f>
        <v>8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8'!B18</f>
        <v>leerling 1</v>
      </c>
    </row>
    <row r="7" spans="1:30" x14ac:dyDescent="0.45">
      <c r="A7" s="213">
        <v>2</v>
      </c>
      <c r="B7" s="212" t="str">
        <f>'groep 8'!B19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8'!B20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8'!B21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8'!B22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8'!B23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8'!B24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8'!B25</f>
        <v>leerling 8</v>
      </c>
      <c r="H13" s="217"/>
      <c r="I13" s="217"/>
      <c r="J13" s="217"/>
      <c r="K13" s="226">
        <f>VLOOKUP($H$2,'groep 8'!$A18:$L53,7)</f>
        <v>0</v>
      </c>
      <c r="L13" s="226" t="str">
        <f>VLOOKUP($H$2,'groep 8'!$A18:$L53,8)</f>
        <v>B</v>
      </c>
      <c r="M13" s="226" t="str">
        <f>VLOOKUP($H$2,'groep 8'!$A18:$L53,9)</f>
        <v>C</v>
      </c>
      <c r="N13" s="226">
        <f>VLOOKUP($H$2,'groep 8'!$A18:$L53,10)</f>
        <v>0</v>
      </c>
      <c r="O13" s="226">
        <f>VLOOKUP($H$2,'groep 8'!$A18:$L53,11)</f>
        <v>0</v>
      </c>
      <c r="P13" s="226" t="str">
        <f>VLOOKUP($H$2,'groep 8'!$A18:$L53,12)</f>
        <v>B</v>
      </c>
      <c r="Q13" s="226"/>
      <c r="R13" s="226" t="str">
        <f>VLOOKUP($H$2,'groep 8'!$A18:$L53,3)</f>
        <v>C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8'!B26</f>
        <v>leerling 9</v>
      </c>
      <c r="K14" s="225" t="str">
        <f>IF(K13="E",1,IF(K13="D",2,IF(K13="C",3,IF(K13="B",4,IF(K13="A",5,IF(K13=5,1,IF(K13=4,2,IF(K13=3,3,IF(K13=2,4,IF(K13=1,5,IF(K13=0,"")))))))))))</f>
        <v/>
      </c>
      <c r="L14" s="225">
        <f t="shared" ref="L14:P14" si="0">IF(L13="E",1,IF(L13="D",2,IF(L13="C",3,IF(L13="B",4,IF(L13="A",5,IF(L13=5,1,IF(L13=4,2,IF(L13=3,3,IF(L13=2,4,IF(L13=1,5,IF(L13=0,"")))))))))))</f>
        <v>4</v>
      </c>
      <c r="M14" s="225">
        <f t="shared" si="0"/>
        <v>3</v>
      </c>
      <c r="N14" s="225" t="str">
        <f t="shared" si="0"/>
        <v/>
      </c>
      <c r="O14" s="225" t="str">
        <f t="shared" si="0"/>
        <v/>
      </c>
      <c r="P14" s="225">
        <f t="shared" si="0"/>
        <v>4</v>
      </c>
      <c r="Q14" s="252">
        <f>U14/T14</f>
        <v>3.6666666666666665</v>
      </c>
      <c r="R14" s="225">
        <f>IF(R13="E",1,IF(R13="D",2,IF(R13="C",3,IF(R13="B",4,IF(R13="A",5,IF(R13=5,1,IF(R13=4,2,IF(R13=3,3,IF(R13=2,4,IF(R13=1,5,IF(R13=0,"")))))))))))</f>
        <v>3</v>
      </c>
      <c r="S14" s="252">
        <f>S13</f>
        <v>2.4299999999999997</v>
      </c>
      <c r="T14" s="256">
        <f>COUNTIF(K14:P14,"&gt;0")</f>
        <v>3</v>
      </c>
      <c r="U14" s="256">
        <f>SUM(K14:P14)</f>
        <v>11</v>
      </c>
    </row>
    <row r="15" spans="1:30" x14ac:dyDescent="0.45">
      <c r="A15" s="213">
        <v>10</v>
      </c>
      <c r="B15" s="212" t="str">
        <f>'groep 8'!B27</f>
        <v>leerling 10</v>
      </c>
    </row>
    <row r="16" spans="1:30" x14ac:dyDescent="0.45">
      <c r="A16" s="213">
        <v>11</v>
      </c>
      <c r="B16" s="212">
        <f>'groep 8'!B28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8'!B29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8'!B30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8'!B31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8'!B32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8'!B33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8'!B34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8'!B35</f>
        <v>0</v>
      </c>
    </row>
    <row r="24" spans="1:21" x14ac:dyDescent="0.45">
      <c r="A24" s="213">
        <v>19</v>
      </c>
      <c r="B24" s="212">
        <f>'groep 8'!B36</f>
        <v>0</v>
      </c>
    </row>
    <row r="25" spans="1:21" x14ac:dyDescent="0.45">
      <c r="A25" s="213">
        <v>20</v>
      </c>
      <c r="B25" s="212">
        <f>'groep 8'!B37</f>
        <v>0</v>
      </c>
    </row>
    <row r="26" spans="1:21" x14ac:dyDescent="0.45">
      <c r="A26" s="213">
        <v>21</v>
      </c>
      <c r="B26" s="212">
        <f>'groep 8'!B38</f>
        <v>0</v>
      </c>
    </row>
    <row r="27" spans="1:21" x14ac:dyDescent="0.45">
      <c r="A27" s="213">
        <v>22</v>
      </c>
      <c r="B27" s="212">
        <f>'groep 8'!B39</f>
        <v>0</v>
      </c>
    </row>
    <row r="28" spans="1:21" ht="15.75" customHeight="1" x14ac:dyDescent="0.45">
      <c r="A28" s="213">
        <v>23</v>
      </c>
      <c r="B28" s="212">
        <f>'groep 8'!B40</f>
        <v>0</v>
      </c>
    </row>
    <row r="29" spans="1:21" x14ac:dyDescent="0.45">
      <c r="A29" s="213">
        <v>24</v>
      </c>
      <c r="B29" s="212">
        <f>'groep 8'!B41</f>
        <v>0</v>
      </c>
    </row>
    <row r="30" spans="1:21" x14ac:dyDescent="0.45">
      <c r="A30" s="213">
        <v>25</v>
      </c>
      <c r="B30" s="212">
        <f>'groep 8'!B42</f>
        <v>0</v>
      </c>
    </row>
    <row r="31" spans="1:21" x14ac:dyDescent="0.45">
      <c r="A31" s="213">
        <v>26</v>
      </c>
      <c r="B31" s="212">
        <f>'groep 8'!B43</f>
        <v>0</v>
      </c>
    </row>
    <row r="32" spans="1:21" x14ac:dyDescent="0.45">
      <c r="A32" s="213">
        <v>27</v>
      </c>
      <c r="B32" s="212">
        <f>'groep 8'!B44</f>
        <v>0</v>
      </c>
    </row>
    <row r="33" spans="1:7" x14ac:dyDescent="0.45">
      <c r="A33" s="213">
        <v>28</v>
      </c>
      <c r="B33" s="212">
        <f>'groep 8'!B45</f>
        <v>0</v>
      </c>
    </row>
    <row r="34" spans="1:7" x14ac:dyDescent="0.45">
      <c r="A34" s="213">
        <v>29</v>
      </c>
      <c r="B34" s="212">
        <f>'groep 8'!B46</f>
        <v>0</v>
      </c>
    </row>
    <row r="35" spans="1:7" x14ac:dyDescent="0.45">
      <c r="A35" s="213">
        <v>30</v>
      </c>
      <c r="B35" s="212">
        <f>'groep 8'!B47</f>
        <v>0</v>
      </c>
    </row>
    <row r="36" spans="1:7" x14ac:dyDescent="0.45">
      <c r="A36" s="213">
        <v>31</v>
      </c>
      <c r="B36" s="212">
        <f>'groep 8'!B48</f>
        <v>0</v>
      </c>
    </row>
    <row r="37" spans="1:7" x14ac:dyDescent="0.45">
      <c r="A37" s="213">
        <v>32</v>
      </c>
      <c r="B37" s="212">
        <f>'groep 8'!B49</f>
        <v>0</v>
      </c>
    </row>
    <row r="38" spans="1:7" x14ac:dyDescent="0.45">
      <c r="A38" s="213">
        <v>33</v>
      </c>
      <c r="B38" s="212">
        <f>'groep 8'!B50</f>
        <v>0</v>
      </c>
    </row>
    <row r="39" spans="1:7" x14ac:dyDescent="0.45">
      <c r="A39" s="213">
        <v>34</v>
      </c>
      <c r="B39" s="212">
        <f>'groep 8'!B51</f>
        <v>0</v>
      </c>
    </row>
    <row r="40" spans="1:7" x14ac:dyDescent="0.45">
      <c r="A40" s="213">
        <v>35</v>
      </c>
      <c r="B40" s="212">
        <f>'groep 8'!B52</f>
        <v>0</v>
      </c>
    </row>
    <row r="41" spans="1:7" x14ac:dyDescent="0.45">
      <c r="A41" s="213">
        <v>36</v>
      </c>
      <c r="B41" s="212">
        <f>'groep 8'!B53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00B050"/>
    <pageSetUpPr fitToPage="1"/>
  </sheetPr>
  <dimension ref="A1:AB32"/>
  <sheetViews>
    <sheetView showGridLines="0" showRowColHeaders="0" zoomScale="95" zoomScaleNormal="95" workbookViewId="0">
      <selection activeCell="W29" sqref="W29:AB30"/>
    </sheetView>
  </sheetViews>
  <sheetFormatPr defaultRowHeight="13.2" x14ac:dyDescent="0.25"/>
  <cols>
    <col min="1" max="1" width="3.77734375" customWidth="1"/>
    <col min="2" max="2" width="8.21875" style="104" customWidth="1"/>
    <col min="3" max="3" width="7.21875" customWidth="1"/>
    <col min="4" max="4" width="9.5546875" style="4" bestFit="1" customWidth="1"/>
    <col min="5" max="5" width="2.5546875" customWidth="1"/>
    <col min="6" max="7" width="10.5546875" style="4" bestFit="1" customWidth="1"/>
    <col min="8" max="8" width="10.77734375" style="4" bestFit="1" customWidth="1"/>
    <col min="9" max="9" width="10.77734375" style="4" customWidth="1"/>
    <col min="10" max="11" width="10.5546875" style="4" bestFit="1" customWidth="1"/>
    <col min="12" max="12" width="2.5546875" style="4" customWidth="1"/>
    <col min="13" max="13" width="9.44140625" style="4" bestFit="1" customWidth="1"/>
    <col min="14" max="14" width="2.5546875" style="4" customWidth="1"/>
    <col min="15" max="15" width="9.44140625" bestFit="1" customWidth="1"/>
    <col min="16" max="16" width="9.21875" hidden="1" customWidth="1"/>
    <col min="17" max="17" width="9.44140625" bestFit="1" customWidth="1"/>
    <col min="19" max="21" width="9.21875" style="4" hidden="1" customWidth="1"/>
    <col min="22" max="22" width="2.5546875" style="4" customWidth="1"/>
    <col min="23" max="28" width="9.21875" style="4" customWidth="1"/>
    <col min="29" max="29" width="9.5546875" customWidth="1"/>
  </cols>
  <sheetData>
    <row r="1" spans="2:28" ht="13.8" thickBot="1" x14ac:dyDescent="0.3">
      <c r="H1" s="75"/>
      <c r="I1" s="75"/>
      <c r="J1" s="75"/>
      <c r="K1" s="75"/>
      <c r="L1" s="75"/>
    </row>
    <row r="2" spans="2:28" ht="25.2" thickBot="1" x14ac:dyDescent="0.3">
      <c r="B2" s="308" t="s">
        <v>86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</row>
    <row r="4" spans="2:28" x14ac:dyDescent="0.25">
      <c r="B4" s="13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.2" customHeight="1" x14ac:dyDescent="0.25">
      <c r="B5" s="269" t="s">
        <v>28</v>
      </c>
      <c r="C5" s="270"/>
      <c r="D5" s="270"/>
      <c r="E5" s="328" t="s">
        <v>75</v>
      </c>
      <c r="F5" s="329"/>
      <c r="G5" s="281" t="s">
        <v>87</v>
      </c>
      <c r="H5" s="281"/>
      <c r="I5" s="281"/>
      <c r="J5" s="282"/>
      <c r="K5" s="320">
        <v>0.75</v>
      </c>
      <c r="W5" s="281" t="s">
        <v>140</v>
      </c>
      <c r="X5" s="281"/>
      <c r="Y5" s="281"/>
      <c r="Z5" s="281"/>
      <c r="AA5" s="282"/>
      <c r="AB5" s="280">
        <v>0.48599999999999999</v>
      </c>
    </row>
    <row r="6" spans="2:28" ht="13.2" customHeight="1" x14ac:dyDescent="0.25">
      <c r="B6" s="269" t="s">
        <v>27</v>
      </c>
      <c r="C6" s="270"/>
      <c r="D6" s="270"/>
      <c r="E6" s="330" t="str">
        <f>IF(E5="ja","nee",IF(E5="nee","ja",IF(E5="","")))</f>
        <v>nee</v>
      </c>
      <c r="F6" s="331"/>
      <c r="G6" s="281"/>
      <c r="H6" s="281"/>
      <c r="I6" s="281"/>
      <c r="J6" s="282"/>
      <c r="K6" s="320"/>
      <c r="W6" s="281"/>
      <c r="X6" s="281"/>
      <c r="Y6" s="281"/>
      <c r="Z6" s="281"/>
      <c r="AA6" s="282"/>
      <c r="AB6" s="280"/>
    </row>
    <row r="7" spans="2:28" ht="13.8" thickBot="1" x14ac:dyDescent="0.3">
      <c r="B7" s="136"/>
      <c r="C7" s="15"/>
      <c r="D7" s="16"/>
    </row>
    <row r="8" spans="2:28" ht="13.8" thickTop="1" x14ac:dyDescent="0.25">
      <c r="B8" s="262" t="s">
        <v>68</v>
      </c>
      <c r="C8" s="292"/>
      <c r="D8" s="293"/>
      <c r="E8" s="321"/>
      <c r="F8" s="262" t="s">
        <v>85</v>
      </c>
      <c r="G8" s="263"/>
      <c r="H8" s="262" t="s">
        <v>31</v>
      </c>
      <c r="I8" s="263"/>
      <c r="J8" s="265" t="s">
        <v>32</v>
      </c>
      <c r="K8" s="272"/>
      <c r="L8" s="113"/>
      <c r="M8" s="131"/>
      <c r="O8" s="262" t="s">
        <v>68</v>
      </c>
      <c r="P8" s="292"/>
      <c r="Q8" s="292"/>
      <c r="R8" s="293"/>
      <c r="S8" s="40"/>
      <c r="W8" s="287" t="s">
        <v>113</v>
      </c>
      <c r="X8" s="288"/>
      <c r="Y8" s="288"/>
      <c r="Z8" s="288"/>
      <c r="AA8" s="288"/>
      <c r="AB8" s="289"/>
    </row>
    <row r="9" spans="2:28" ht="17.100000000000001" customHeight="1" x14ac:dyDescent="0.25">
      <c r="B9" s="133" t="s">
        <v>0</v>
      </c>
      <c r="C9" s="311" t="s">
        <v>88</v>
      </c>
      <c r="D9" s="133" t="s">
        <v>83</v>
      </c>
      <c r="E9" s="322"/>
      <c r="F9" s="83" t="s">
        <v>56</v>
      </c>
      <c r="G9" s="83" t="s">
        <v>57</v>
      </c>
      <c r="H9" s="83" t="s">
        <v>58</v>
      </c>
      <c r="I9" s="84" t="s">
        <v>80</v>
      </c>
      <c r="J9" s="83" t="s">
        <v>59</v>
      </c>
      <c r="K9" s="140" t="s">
        <v>60</v>
      </c>
      <c r="L9" s="96"/>
      <c r="M9" s="116" t="s">
        <v>61</v>
      </c>
      <c r="N9" s="95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290" t="s">
        <v>57</v>
      </c>
      <c r="X9" s="290"/>
      <c r="Y9" s="290" t="s">
        <v>58</v>
      </c>
      <c r="Z9" s="290"/>
      <c r="AA9" s="290" t="s">
        <v>114</v>
      </c>
      <c r="AB9" s="290"/>
    </row>
    <row r="10" spans="2:28" x14ac:dyDescent="0.25">
      <c r="B10" s="27"/>
      <c r="C10" s="312"/>
      <c r="D10" s="141" t="s">
        <v>84</v>
      </c>
      <c r="E10" s="322"/>
      <c r="F10" s="85" t="s">
        <v>11</v>
      </c>
      <c r="G10" s="85" t="s">
        <v>12</v>
      </c>
      <c r="H10" s="85"/>
      <c r="I10" s="86" t="s">
        <v>58</v>
      </c>
      <c r="J10" s="85" t="s">
        <v>13</v>
      </c>
      <c r="K10" s="142" t="s">
        <v>14</v>
      </c>
      <c r="L10" s="96"/>
      <c r="M10" s="117" t="s">
        <v>33</v>
      </c>
      <c r="N10" s="95"/>
      <c r="O10" s="39"/>
      <c r="P10" s="110"/>
      <c r="Q10" s="39" t="s">
        <v>38</v>
      </c>
      <c r="R10" s="24" t="s">
        <v>43</v>
      </c>
      <c r="S10" s="20"/>
      <c r="T10" s="8"/>
      <c r="U10" s="8"/>
      <c r="V10" s="45"/>
      <c r="W10" s="291" t="s">
        <v>12</v>
      </c>
      <c r="X10" s="291"/>
      <c r="Y10" s="291"/>
      <c r="Z10" s="291"/>
      <c r="AA10" s="291"/>
      <c r="AB10" s="291"/>
    </row>
    <row r="11" spans="2:28" s="13" customFormat="1" x14ac:dyDescent="0.25">
      <c r="B11" s="28"/>
      <c r="C11" s="313"/>
      <c r="D11" s="28"/>
      <c r="E11" s="322"/>
      <c r="F11" s="87" t="s">
        <v>29</v>
      </c>
      <c r="G11" s="87" t="s">
        <v>29</v>
      </c>
      <c r="H11" s="87" t="s">
        <v>29</v>
      </c>
      <c r="I11" s="87" t="s">
        <v>29</v>
      </c>
      <c r="J11" s="87" t="s">
        <v>30</v>
      </c>
      <c r="K11" s="143" t="s">
        <v>30</v>
      </c>
      <c r="L11" s="96"/>
      <c r="M11" s="118" t="s">
        <v>34</v>
      </c>
      <c r="N11" s="95"/>
      <c r="O11" s="18" t="s">
        <v>40</v>
      </c>
      <c r="P11" s="111"/>
      <c r="Q11" s="18" t="s">
        <v>41</v>
      </c>
      <c r="R11" s="25" t="s">
        <v>44</v>
      </c>
      <c r="S11" s="20"/>
      <c r="T11" s="7"/>
      <c r="U11" s="7"/>
      <c r="V11" s="46"/>
      <c r="W11" s="201" t="s">
        <v>115</v>
      </c>
      <c r="X11" s="201" t="s">
        <v>116</v>
      </c>
      <c r="Y11" s="201" t="s">
        <v>115</v>
      </c>
      <c r="Z11" s="201" t="s">
        <v>116</v>
      </c>
      <c r="AA11" s="201" t="s">
        <v>115</v>
      </c>
      <c r="AB11" s="201" t="s">
        <v>120</v>
      </c>
    </row>
    <row r="12" spans="2:28" s="13" customFormat="1" ht="12.45" hidden="1" customHeight="1" x14ac:dyDescent="0.25">
      <c r="B12" s="64" t="s">
        <v>76</v>
      </c>
      <c r="C12" s="132"/>
      <c r="D12" s="90" t="s">
        <v>15</v>
      </c>
      <c r="E12" s="108" t="s">
        <v>70</v>
      </c>
      <c r="F12" s="88" t="s">
        <v>71</v>
      </c>
      <c r="G12" s="63" t="s">
        <v>16</v>
      </c>
      <c r="H12" s="64" t="s">
        <v>70</v>
      </c>
      <c r="I12" s="64"/>
      <c r="J12" s="63" t="s">
        <v>72</v>
      </c>
      <c r="K12" s="90" t="s">
        <v>73</v>
      </c>
      <c r="L12" s="45"/>
      <c r="M12" s="117" t="s">
        <v>19</v>
      </c>
      <c r="N12" s="95"/>
      <c r="O12" s="56" t="s">
        <v>18</v>
      </c>
      <c r="P12" s="108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45" hidden="1" customHeight="1" x14ac:dyDescent="0.25">
      <c r="B13" s="64" t="s">
        <v>18</v>
      </c>
      <c r="C13" s="132"/>
      <c r="D13" s="90"/>
      <c r="E13" s="108"/>
      <c r="F13" s="88"/>
      <c r="G13" s="63"/>
      <c r="H13" s="64"/>
      <c r="I13" s="64"/>
      <c r="J13" s="63"/>
      <c r="K13" s="90"/>
      <c r="L13" s="45"/>
      <c r="M13" s="117"/>
      <c r="N13" s="95"/>
      <c r="O13" s="56"/>
      <c r="P13" s="108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45" hidden="1" customHeight="1" x14ac:dyDescent="0.25">
      <c r="B14" s="64" t="s">
        <v>77</v>
      </c>
      <c r="C14" s="132"/>
      <c r="D14" s="90"/>
      <c r="E14" s="108"/>
      <c r="F14" s="88"/>
      <c r="G14" s="63"/>
      <c r="H14" s="64"/>
      <c r="I14" s="64"/>
      <c r="J14" s="63"/>
      <c r="K14" s="90"/>
      <c r="L14" s="45"/>
      <c r="M14" s="117"/>
      <c r="N14" s="95"/>
      <c r="O14" s="56"/>
      <c r="P14" s="108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45" hidden="1" customHeight="1" x14ac:dyDescent="0.25">
      <c r="B15" s="64" t="s">
        <v>78</v>
      </c>
      <c r="C15" s="132"/>
      <c r="D15" s="90"/>
      <c r="E15" s="108"/>
      <c r="F15" s="88"/>
      <c r="G15" s="63"/>
      <c r="H15" s="64"/>
      <c r="I15" s="64"/>
      <c r="J15" s="63"/>
      <c r="K15" s="90"/>
      <c r="L15" s="45"/>
      <c r="M15" s="117"/>
      <c r="N15" s="95"/>
      <c r="O15" s="56"/>
      <c r="P15" s="108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37">
        <f>'groep 3'!$C$2</f>
        <v>3</v>
      </c>
      <c r="C16" s="137">
        <f>'groep 3'!$D$2</f>
        <v>0</v>
      </c>
      <c r="D16" s="130">
        <f>'groep 3'!$B$54</f>
        <v>0</v>
      </c>
      <c r="E16" s="327"/>
      <c r="F16" s="144" t="str">
        <f>'groep 3'!G54</f>
        <v/>
      </c>
      <c r="G16" s="144" t="str">
        <f>'groep 3'!H54</f>
        <v/>
      </c>
      <c r="H16" s="144" t="str">
        <f>'groep 3'!I54</f>
        <v/>
      </c>
      <c r="I16" s="144" t="str">
        <f>'groep 3'!J54</f>
        <v/>
      </c>
      <c r="J16" s="144" t="str">
        <f>'groep 3'!K54</f>
        <v/>
      </c>
      <c r="K16" s="144" t="str">
        <f>'groep 3'!L54</f>
        <v/>
      </c>
      <c r="L16" s="98"/>
      <c r="M16" s="119" t="str">
        <f>'groep 3'!$AJ$54</f>
        <v/>
      </c>
      <c r="N16" s="114"/>
      <c r="O16" s="91">
        <f>'groep 3'!$AN$55</f>
        <v>0</v>
      </c>
      <c r="P16" s="40">
        <f>'groep 3'!AO55</f>
        <v>0</v>
      </c>
      <c r="Q16" s="91">
        <f>'groep 3'!$AO$55</f>
        <v>0</v>
      </c>
      <c r="R16" s="81" t="str">
        <f>'groep 3'!$AP$54</f>
        <v/>
      </c>
      <c r="S16" s="82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340" t="str">
        <f>'groep 3'!$AR$55</f>
        <v/>
      </c>
      <c r="X16" s="340" t="str">
        <f>'groep 3'!$AR$56</f>
        <v/>
      </c>
      <c r="Y16" s="340" t="str">
        <f>'groep 3'!$AS$55</f>
        <v/>
      </c>
      <c r="Z16" s="340" t="str">
        <f>'groep 3'!$AS$56</f>
        <v/>
      </c>
      <c r="AA16" s="340" t="str">
        <f>'groep 3'!$AT$55</f>
        <v/>
      </c>
      <c r="AB16" s="340" t="str">
        <f>'groep 3'!$AT$56</f>
        <v/>
      </c>
    </row>
    <row r="17" spans="1:28" ht="15" customHeight="1" x14ac:dyDescent="0.25">
      <c r="B17" s="137"/>
      <c r="C17" s="78"/>
      <c r="D17" s="66"/>
      <c r="E17" s="327"/>
      <c r="F17" s="130"/>
      <c r="G17" s="130"/>
      <c r="H17" s="130"/>
      <c r="I17" s="130"/>
      <c r="J17" s="130"/>
      <c r="K17" s="130"/>
      <c r="L17" s="97"/>
      <c r="M17" s="120"/>
      <c r="N17" s="114"/>
      <c r="O17" s="92"/>
      <c r="P17" s="40"/>
      <c r="Q17" s="92" t="str">
        <f>IF(E17="","",IF(E17="X",M17))</f>
        <v/>
      </c>
      <c r="R17" s="115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341"/>
      <c r="X17" s="341"/>
      <c r="Y17" s="341"/>
      <c r="Z17" s="341"/>
      <c r="AA17" s="341"/>
      <c r="AB17" s="341"/>
    </row>
    <row r="18" spans="1:28" ht="15" customHeight="1" x14ac:dyDescent="0.25">
      <c r="B18" s="138">
        <f>'groep 4'!$C$2</f>
        <v>4</v>
      </c>
      <c r="C18" s="138">
        <f>'groep 4'!$D$2</f>
        <v>0</v>
      </c>
      <c r="D18" s="66">
        <f>'groep 4'!$B$54</f>
        <v>10</v>
      </c>
      <c r="E18" s="327"/>
      <c r="F18" s="144">
        <f>'groep 4'!G54</f>
        <v>0.4</v>
      </c>
      <c r="G18" s="144" t="str">
        <f>'groep 4'!H54</f>
        <v/>
      </c>
      <c r="H18" s="144">
        <f>'groep 4'!I54</f>
        <v>0.8</v>
      </c>
      <c r="I18" s="144" t="str">
        <f>'groep 4'!J54</f>
        <v/>
      </c>
      <c r="J18" s="144" t="str">
        <f>'groep 4'!K54</f>
        <v/>
      </c>
      <c r="K18" s="144">
        <f>'groep 4'!L54</f>
        <v>0.9</v>
      </c>
      <c r="L18" s="98"/>
      <c r="M18" s="120">
        <f>'groep 4'!$AJ$54</f>
        <v>0.70000000000000007</v>
      </c>
      <c r="N18" s="114"/>
      <c r="O18" s="93">
        <f>'groep 4'!$AN$55</f>
        <v>0</v>
      </c>
      <c r="P18" s="40">
        <f>'groep 3'!AO57</f>
        <v>0</v>
      </c>
      <c r="Q18" s="93">
        <f>'groep 4'!$AO$55</f>
        <v>0</v>
      </c>
      <c r="R18" s="81">
        <f>'groep 4'!$AP$54</f>
        <v>1</v>
      </c>
      <c r="S18" s="82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340" t="str">
        <f>'groep 4'!$AR$55</f>
        <v/>
      </c>
      <c r="X18" s="340" t="str">
        <f>'groep 4'!$AR$56</f>
        <v/>
      </c>
      <c r="Y18" s="340" t="str">
        <f>'groep 4'!$AS$55</f>
        <v/>
      </c>
      <c r="Z18" s="340" t="str">
        <f>'groep 4'!$AS$56</f>
        <v/>
      </c>
      <c r="AA18" s="340" t="str">
        <f>'groep 4'!$AT$55</f>
        <v/>
      </c>
      <c r="AB18" s="340" t="str">
        <f>'groep 4'!$AT$56</f>
        <v/>
      </c>
    </row>
    <row r="19" spans="1:28" ht="15" customHeight="1" x14ac:dyDescent="0.25">
      <c r="B19" s="139"/>
      <c r="C19" s="147"/>
      <c r="D19" s="66"/>
      <c r="E19" s="327"/>
      <c r="F19" s="130"/>
      <c r="G19" s="145"/>
      <c r="H19" s="130"/>
      <c r="I19" s="145"/>
      <c r="J19" s="130"/>
      <c r="K19" s="130"/>
      <c r="L19" s="97"/>
      <c r="M19" s="120"/>
      <c r="N19" s="114"/>
      <c r="O19" s="92"/>
      <c r="P19" s="40"/>
      <c r="Q19" s="92" t="str">
        <f>IF(E19="","",IF(E19="X",M19))</f>
        <v/>
      </c>
      <c r="R19" s="115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341"/>
      <c r="X19" s="341"/>
      <c r="Y19" s="341"/>
      <c r="Z19" s="341"/>
      <c r="AA19" s="341"/>
      <c r="AB19" s="341"/>
    </row>
    <row r="20" spans="1:28" ht="15" customHeight="1" x14ac:dyDescent="0.25">
      <c r="B20" s="138">
        <f>'groep 5'!$C$2</f>
        <v>5</v>
      </c>
      <c r="C20" s="138">
        <f>'groep 5'!$D$2</f>
        <v>0</v>
      </c>
      <c r="D20" s="66">
        <f>'groep 5'!$B$54</f>
        <v>8</v>
      </c>
      <c r="E20" s="327"/>
      <c r="F20" s="144">
        <f>'groep 5'!G54</f>
        <v>0.875</v>
      </c>
      <c r="G20" s="146"/>
      <c r="H20" s="144">
        <f>'groep 5'!I54</f>
        <v>0.875</v>
      </c>
      <c r="I20" s="146"/>
      <c r="J20" s="144" t="str">
        <f>'groep 5'!K54</f>
        <v/>
      </c>
      <c r="K20" s="144">
        <f>'groep 5'!L54</f>
        <v>1</v>
      </c>
      <c r="L20" s="98"/>
      <c r="M20" s="120">
        <f>'groep 5'!$AJ$54</f>
        <v>0.875</v>
      </c>
      <c r="N20" s="114"/>
      <c r="O20" s="93">
        <f>'groep 5'!$AN$55</f>
        <v>0</v>
      </c>
      <c r="P20" s="40">
        <f>'groep 3'!AO59</f>
        <v>0</v>
      </c>
      <c r="Q20" s="93">
        <f>'groep 5'!$AO$55</f>
        <v>0</v>
      </c>
      <c r="R20" s="81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340" t="str">
        <f>'groep 5'!$AR$55</f>
        <v/>
      </c>
      <c r="X20" s="340" t="str">
        <f>'groep 5'!$AR$56</f>
        <v/>
      </c>
      <c r="Y20" s="340" t="str">
        <f>'groep 5'!$AS$55</f>
        <v/>
      </c>
      <c r="Z20" s="340" t="str">
        <f>'groep 5'!$AS$56</f>
        <v/>
      </c>
      <c r="AA20" s="340" t="str">
        <f>'groep 5'!$AT$55</f>
        <v/>
      </c>
      <c r="AB20" s="340" t="str">
        <f>'groep 5'!$AT$56</f>
        <v/>
      </c>
    </row>
    <row r="21" spans="1:28" ht="15" customHeight="1" x14ac:dyDescent="0.25">
      <c r="B21" s="139"/>
      <c r="C21" s="147"/>
      <c r="D21" s="66"/>
      <c r="E21" s="327"/>
      <c r="F21" s="130"/>
      <c r="G21" s="145"/>
      <c r="H21" s="130"/>
      <c r="I21" s="145"/>
      <c r="J21" s="130"/>
      <c r="K21" s="130"/>
      <c r="L21" s="97"/>
      <c r="M21" s="120"/>
      <c r="N21" s="114"/>
      <c r="O21" s="92"/>
      <c r="P21" s="40"/>
      <c r="Q21" s="92" t="str">
        <f>IF(E21="","",IF(E21="X",M21))</f>
        <v/>
      </c>
      <c r="R21" s="115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341"/>
      <c r="X21" s="341"/>
      <c r="Y21" s="341"/>
      <c r="Z21" s="341"/>
      <c r="AA21" s="341"/>
      <c r="AB21" s="341"/>
    </row>
    <row r="22" spans="1:28" ht="15" customHeight="1" x14ac:dyDescent="0.25">
      <c r="B22" s="138">
        <f>'groep 6'!$C$2</f>
        <v>6</v>
      </c>
      <c r="C22" s="138">
        <f>'groep 6'!$D$2</f>
        <v>0</v>
      </c>
      <c r="D22" s="66">
        <f>'groep 6'!$B$54</f>
        <v>14</v>
      </c>
      <c r="E22" s="327"/>
      <c r="F22" s="144">
        <f>'groep 6'!G54</f>
        <v>0.61538461538461542</v>
      </c>
      <c r="G22" s="144">
        <f>'groep 6'!H54</f>
        <v>0.84615384615384615</v>
      </c>
      <c r="H22" s="144">
        <f>'groep 6'!I54</f>
        <v>1</v>
      </c>
      <c r="I22" s="144" t="str">
        <f>'groep 6'!J54</f>
        <v/>
      </c>
      <c r="J22" s="144" t="str">
        <f>'groep 6'!K54</f>
        <v/>
      </c>
      <c r="K22" s="144">
        <f>'groep 6'!L54</f>
        <v>1</v>
      </c>
      <c r="L22" s="98"/>
      <c r="M22" s="120">
        <f>'groep 6'!$AJ$54</f>
        <v>0.875</v>
      </c>
      <c r="N22" s="114"/>
      <c r="O22" s="93">
        <f>'groep 6'!$AN$55</f>
        <v>0</v>
      </c>
      <c r="P22" s="40">
        <f>'groep 3'!AO61</f>
        <v>0</v>
      </c>
      <c r="Q22" s="93">
        <f>'groep 6'!$AO$55</f>
        <v>0</v>
      </c>
      <c r="R22" s="81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340">
        <f>'groep 6'!$AR$55</f>
        <v>1</v>
      </c>
      <c r="X22" s="340">
        <f>'groep 6'!$AR$56</f>
        <v>0.30769230769230771</v>
      </c>
      <c r="Y22" s="340">
        <f>'groep 6'!$AS$55</f>
        <v>1</v>
      </c>
      <c r="Z22" s="340">
        <f>'groep 6'!$AS$56</f>
        <v>0.61538461538461542</v>
      </c>
      <c r="AA22" s="340">
        <f>'groep 6'!$AT$55</f>
        <v>1</v>
      </c>
      <c r="AB22" s="340">
        <f>'groep 6'!$AT$56</f>
        <v>0.76923076923076927</v>
      </c>
    </row>
    <row r="23" spans="1:28" ht="15" customHeight="1" x14ac:dyDescent="0.25">
      <c r="B23" s="139"/>
      <c r="C23" s="147"/>
      <c r="D23" s="66"/>
      <c r="E23" s="327"/>
      <c r="F23" s="145"/>
      <c r="G23" s="145"/>
      <c r="H23" s="145"/>
      <c r="I23" s="145"/>
      <c r="J23" s="145"/>
      <c r="K23" s="145"/>
      <c r="L23" s="99"/>
      <c r="M23" s="120"/>
      <c r="N23" s="114"/>
      <c r="O23" s="92"/>
      <c r="P23" s="40" t="s">
        <v>23</v>
      </c>
      <c r="Q23" s="92" t="str">
        <f>IF(E23="","",IF(E23="X",M23))</f>
        <v/>
      </c>
      <c r="R23" s="115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341"/>
      <c r="X23" s="341"/>
      <c r="Y23" s="341"/>
      <c r="Z23" s="341"/>
      <c r="AA23" s="341"/>
      <c r="AB23" s="341"/>
    </row>
    <row r="24" spans="1:28" ht="15" customHeight="1" x14ac:dyDescent="0.25">
      <c r="B24" s="138">
        <f>'groep 7'!$C$2</f>
        <v>7</v>
      </c>
      <c r="C24" s="138">
        <f>'groep 7'!$D$2</f>
        <v>0</v>
      </c>
      <c r="D24" s="66">
        <f>'groep 7'!$B$54</f>
        <v>10</v>
      </c>
      <c r="E24" s="327"/>
      <c r="F24" s="146" t="str">
        <f>'groep 7'!G54</f>
        <v/>
      </c>
      <c r="G24" s="146">
        <f>'groep 7'!H54</f>
        <v>0.625</v>
      </c>
      <c r="H24" s="146">
        <f>'groep 7'!I54</f>
        <v>0.8</v>
      </c>
      <c r="I24" s="146" t="str">
        <f>'groep 7'!J54</f>
        <v/>
      </c>
      <c r="J24" s="146" t="str">
        <f>'groep 7'!K54</f>
        <v/>
      </c>
      <c r="K24" s="146">
        <f>'groep 7'!L54</f>
        <v>1</v>
      </c>
      <c r="L24" s="100"/>
      <c r="M24" s="120">
        <f>'groep 7'!$AJ$54</f>
        <v>0.8</v>
      </c>
      <c r="N24" s="114"/>
      <c r="O24" s="93">
        <f>'groep 7'!$AN$55</f>
        <v>0</v>
      </c>
      <c r="P24" s="40">
        <f>'groep 3'!AO63</f>
        <v>0</v>
      </c>
      <c r="Q24" s="93">
        <f>'groep 7'!$AO$55</f>
        <v>0</v>
      </c>
      <c r="R24" s="81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340">
        <f>'groep 7'!$AR$55</f>
        <v>1</v>
      </c>
      <c r="X24" s="340">
        <f>'groep 7'!$AR$56</f>
        <v>0.5</v>
      </c>
      <c r="Y24" s="340">
        <f>'groep 7'!$AS$55</f>
        <v>1</v>
      </c>
      <c r="Z24" s="340">
        <f>'groep 7'!$AS$56</f>
        <v>0.875</v>
      </c>
      <c r="AA24" s="340">
        <f>'groep 7'!$AT$55</f>
        <v>0.875</v>
      </c>
      <c r="AB24" s="340">
        <f>'groep 7'!$AT$56</f>
        <v>0.75</v>
      </c>
    </row>
    <row r="25" spans="1:28" ht="15" customHeight="1" x14ac:dyDescent="0.25">
      <c r="B25" s="139"/>
      <c r="C25" s="147"/>
      <c r="D25" s="66"/>
      <c r="E25" s="327"/>
      <c r="F25" s="145"/>
      <c r="G25" s="145"/>
      <c r="H25" s="145"/>
      <c r="I25" s="145"/>
      <c r="J25" s="145"/>
      <c r="K25" s="145"/>
      <c r="L25" s="99"/>
      <c r="M25" s="120"/>
      <c r="N25" s="114"/>
      <c r="O25" s="92" t="str">
        <f>'groep 3'!AN63</f>
        <v/>
      </c>
      <c r="P25" s="40"/>
      <c r="Q25" s="92" t="str">
        <f>IF(E25="","",IF(E25="X",M25))</f>
        <v/>
      </c>
      <c r="R25" s="115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341"/>
      <c r="X25" s="341"/>
      <c r="Y25" s="341"/>
      <c r="Z25" s="341"/>
      <c r="AA25" s="341"/>
      <c r="AB25" s="341"/>
    </row>
    <row r="26" spans="1:28" ht="15" customHeight="1" x14ac:dyDescent="0.25">
      <c r="B26" s="138">
        <f>'groep 8'!$C$2</f>
        <v>8</v>
      </c>
      <c r="C26" s="138">
        <f>'groep 8'!$D$2</f>
        <v>0</v>
      </c>
      <c r="D26" s="66">
        <f>'groep 8'!$B$54</f>
        <v>10</v>
      </c>
      <c r="E26" s="327"/>
      <c r="F26" s="146" t="str">
        <f>'groep 8'!G54</f>
        <v/>
      </c>
      <c r="G26" s="146">
        <f>'groep 8'!H54</f>
        <v>0.54545454545454541</v>
      </c>
      <c r="H26" s="146">
        <f>'groep 8'!I54</f>
        <v>0.72727272727272729</v>
      </c>
      <c r="I26" s="146" t="str">
        <f>'groep 8'!J54</f>
        <v/>
      </c>
      <c r="J26" s="146" t="str">
        <f>'groep 8'!K54</f>
        <v/>
      </c>
      <c r="K26" s="146">
        <f>'groep 8'!L54</f>
        <v>0.90909090909090906</v>
      </c>
      <c r="L26" s="100"/>
      <c r="M26" s="120">
        <f>'groep 8'!$AJ$54</f>
        <v>0.72727272727272729</v>
      </c>
      <c r="N26" s="114"/>
      <c r="O26" s="93">
        <f>'groep 8'!$AN$55</f>
        <v>0</v>
      </c>
      <c r="P26" s="40">
        <f>'groep 3'!AO65</f>
        <v>0</v>
      </c>
      <c r="Q26" s="93">
        <f>'groep 8'!$AO$55</f>
        <v>0</v>
      </c>
      <c r="R26" s="81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340">
        <f>'groep 8'!$AR$55</f>
        <v>0.90909090909090906</v>
      </c>
      <c r="X26" s="340">
        <f>'groep 8'!$AR$56</f>
        <v>0.54545454545454541</v>
      </c>
      <c r="Y26" s="340">
        <f>'groep 8'!$AS$55</f>
        <v>1</v>
      </c>
      <c r="Z26" s="340">
        <f>'groep 8'!$AS$56</f>
        <v>0.45454545454545453</v>
      </c>
      <c r="AA26" s="340">
        <f>'groep 8'!$AT$55</f>
        <v>1</v>
      </c>
      <c r="AB26" s="340">
        <f>'groep 8'!$AT$56</f>
        <v>0.81818181818181823</v>
      </c>
    </row>
    <row r="27" spans="1:28" ht="15" customHeight="1" x14ac:dyDescent="0.25">
      <c r="B27" s="139"/>
      <c r="C27" s="135"/>
      <c r="D27" s="9"/>
      <c r="E27" s="327"/>
      <c r="F27" s="145"/>
      <c r="G27" s="145"/>
      <c r="H27" s="145"/>
      <c r="I27" s="145"/>
      <c r="J27" s="145"/>
      <c r="K27" s="145"/>
      <c r="L27" s="99"/>
      <c r="M27" s="121"/>
      <c r="N27" s="114"/>
      <c r="O27" s="112"/>
      <c r="P27" s="40"/>
      <c r="Q27" s="112" t="str">
        <f>IF(E27="","",IF(E27="X",M27))</f>
        <v/>
      </c>
      <c r="R27" s="115"/>
      <c r="S27" s="105" t="e">
        <f>IF(#REF!="","",IF(#REF!="pro",1,IF(#REF!="lwoo",2,IF(#REF!="vmbo-b",3,IF(#REF!="vmbo-k",4,IF(#REF!="vmbo-g",5,IF(#REF!="vmbo-t",6,IF(#REF!="havo",7))))))))</f>
        <v>#REF!</v>
      </c>
      <c r="T27" s="106" t="e">
        <f>IF(#REF!="","",IF(#REF!="pro",1,IF(#REF!="lwoo",2,IF(#REF!="vmbo-b",3,IF(#REF!="vmbo-k",4,IF(#REF!="vmbo-g",5,IF(#REF!="vmbo-t",6,IF(#REF!="havo",7))))))))</f>
        <v>#REF!</v>
      </c>
      <c r="U27" s="107" t="e">
        <f>IF(T27="",0,IF(T27&lt;#REF!,0,IF(T27&gt;=#REF!,1)))</f>
        <v>#REF!</v>
      </c>
      <c r="W27" s="341"/>
      <c r="X27" s="341"/>
      <c r="Y27" s="341"/>
      <c r="Z27" s="341"/>
      <c r="AA27" s="341"/>
      <c r="AB27" s="341"/>
    </row>
    <row r="28" spans="1:28" ht="15" customHeight="1" thickBot="1" x14ac:dyDescent="0.3">
      <c r="B28" s="197"/>
      <c r="C28" s="197"/>
      <c r="D28" s="197"/>
      <c r="E28" s="197"/>
      <c r="F28" s="198">
        <f t="shared" ref="F28:J28" si="0">COUNT(F16:F27)</f>
        <v>3</v>
      </c>
      <c r="G28" s="198">
        <f t="shared" si="0"/>
        <v>3</v>
      </c>
      <c r="H28" s="198">
        <f t="shared" si="0"/>
        <v>5</v>
      </c>
      <c r="I28" s="198">
        <f t="shared" si="0"/>
        <v>0</v>
      </c>
      <c r="J28" s="198">
        <f t="shared" si="0"/>
        <v>0</v>
      </c>
      <c r="K28" s="198">
        <f>COUNT(K16:K27)</f>
        <v>5</v>
      </c>
      <c r="L28" s="109"/>
      <c r="M28" s="199">
        <f>COUNT(M16:M27)</f>
        <v>5</v>
      </c>
      <c r="N28" s="109"/>
      <c r="O28" s="109"/>
      <c r="P28" s="109"/>
      <c r="Q28" s="109"/>
      <c r="R28" s="109"/>
      <c r="W28" s="202">
        <f>COUNT(W16:W27)</f>
        <v>3</v>
      </c>
      <c r="X28" s="202">
        <f t="shared" ref="X28:AB28" si="1">COUNT(X16:X27)</f>
        <v>3</v>
      </c>
      <c r="Y28" s="202">
        <f t="shared" si="1"/>
        <v>3</v>
      </c>
      <c r="Z28" s="202">
        <f t="shared" si="1"/>
        <v>3</v>
      </c>
      <c r="AA28" s="202">
        <f t="shared" si="1"/>
        <v>3</v>
      </c>
      <c r="AB28" s="202">
        <f t="shared" si="1"/>
        <v>3</v>
      </c>
    </row>
    <row r="29" spans="1:28" s="104" customFormat="1" ht="15" customHeight="1" thickTop="1" x14ac:dyDescent="0.25">
      <c r="A29" s="103" t="s">
        <v>79</v>
      </c>
      <c r="B29" s="314">
        <f>COUNTA(B16:B27)</f>
        <v>6</v>
      </c>
      <c r="C29" s="315"/>
      <c r="D29" s="323">
        <f>SUM(D16:D27)</f>
        <v>52</v>
      </c>
      <c r="E29" s="326">
        <f>COUNTA(E16:E27)</f>
        <v>0</v>
      </c>
      <c r="F29" s="195">
        <f t="shared" ref="F29:J29" si="2">IF(F28=0,"",IF(F28&gt;0,SUM(F16:F27)/COUNT(F16:F27)))</f>
        <v>0.63012820512820511</v>
      </c>
      <c r="G29" s="196">
        <f t="shared" si="2"/>
        <v>0.67220279720279719</v>
      </c>
      <c r="H29" s="196">
        <f t="shared" si="2"/>
        <v>0.84045454545454545</v>
      </c>
      <c r="I29" s="196" t="str">
        <f t="shared" si="2"/>
        <v/>
      </c>
      <c r="J29" s="196" t="str">
        <f t="shared" si="2"/>
        <v/>
      </c>
      <c r="K29" s="125">
        <f>IF(K28=0,"",IF(K28&gt;0,SUM(K16:K27)/COUNT(K16:K27)))</f>
        <v>0.96181818181818168</v>
      </c>
      <c r="L29" s="128"/>
      <c r="M29" s="294">
        <f>IF(M28=0,"",IF(M28&gt;0,SUM(M16:M27)/COUNT(M16:M27)))</f>
        <v>0.79545454545454553</v>
      </c>
      <c r="N29" s="122"/>
      <c r="O29" s="297">
        <f>SUM(O16:O27)</f>
        <v>0</v>
      </c>
      <c r="P29" s="123">
        <f t="shared" ref="P29:Q29" si="3">SUM(P16:P27)</f>
        <v>0</v>
      </c>
      <c r="Q29" s="300">
        <f t="shared" si="3"/>
        <v>0</v>
      </c>
      <c r="R29" s="303">
        <f>SUM(R16:R27)/6</f>
        <v>0.83333333333333337</v>
      </c>
      <c r="S29" s="101"/>
      <c r="T29" s="102"/>
      <c r="U29" s="102" t="e">
        <f>SUM(U16:U27)</f>
        <v>#REF!</v>
      </c>
      <c r="W29" s="342">
        <f>IF(W28=0,"",IF(W28&gt;0,SUM(W16:W27)/COUNT(W16:W27)))</f>
        <v>0.96969696969696972</v>
      </c>
      <c r="X29" s="343">
        <f>IF(X28=0,"",IF(X28&gt;0,SUM(X16:X27)/COUNT(X16:X27)))</f>
        <v>0.45104895104895104</v>
      </c>
      <c r="Y29" s="343">
        <f t="shared" ref="Y29:AB29" si="4">IF(Y28=0,"",IF(Y28&gt;0,SUM(Y16:Y27)/COUNT(Y16:Y27)))</f>
        <v>1</v>
      </c>
      <c r="Z29" s="343">
        <f t="shared" si="4"/>
        <v>0.6483100233100233</v>
      </c>
      <c r="AA29" s="343">
        <f t="shared" si="4"/>
        <v>0.95833333333333337</v>
      </c>
      <c r="AB29" s="344">
        <f t="shared" si="4"/>
        <v>0.77913752913752921</v>
      </c>
    </row>
    <row r="30" spans="1:28" ht="15" customHeight="1" x14ac:dyDescent="0.25">
      <c r="B30" s="316"/>
      <c r="C30" s="317"/>
      <c r="D30" s="324"/>
      <c r="E30" s="326"/>
      <c r="F30" s="332">
        <f>IF(F28=0,"",IF(G28=0,"",IF(F28+G28&gt;0,(F29+G29)/2)))</f>
        <v>0.65116550116550109</v>
      </c>
      <c r="G30" s="306"/>
      <c r="H30" s="306" t="str">
        <f>IF(H28=0,"",IF(I28=0,"",IF(H28+I28&gt;0,(H29+I29)/2)))</f>
        <v/>
      </c>
      <c r="I30" s="306"/>
      <c r="J30" s="306" t="str">
        <f>IF(J28=0,"",IF(K28=0,"",IF(J28+K28&gt;0,(J29+K29)/2)))</f>
        <v/>
      </c>
      <c r="K30" s="307"/>
      <c r="L30" s="129"/>
      <c r="M30" s="295"/>
      <c r="N30" s="126"/>
      <c r="O30" s="298"/>
      <c r="P30" s="11"/>
      <c r="Q30" s="301"/>
      <c r="R30" s="304"/>
      <c r="S30" s="89"/>
      <c r="W30" s="345"/>
      <c r="X30" s="346"/>
      <c r="Y30" s="346"/>
      <c r="Z30" s="346"/>
      <c r="AA30" s="346"/>
      <c r="AB30" s="347"/>
    </row>
    <row r="31" spans="1:28" ht="13.8" thickBot="1" x14ac:dyDescent="0.3">
      <c r="B31" s="318"/>
      <c r="C31" s="319"/>
      <c r="D31" s="325"/>
      <c r="E31" s="326"/>
      <c r="F31" s="283" t="s">
        <v>85</v>
      </c>
      <c r="G31" s="284"/>
      <c r="H31" s="285" t="s">
        <v>31</v>
      </c>
      <c r="I31" s="284"/>
      <c r="J31" s="284" t="s">
        <v>32</v>
      </c>
      <c r="K31" s="286"/>
      <c r="M31" s="296"/>
      <c r="N31" s="127"/>
      <c r="O31" s="299"/>
      <c r="P31" s="124">
        <f>P29*B29</f>
        <v>0</v>
      </c>
      <c r="Q31" s="302"/>
      <c r="R31" s="305"/>
      <c r="S31" s="3"/>
      <c r="T31" s="3"/>
      <c r="U31" s="3"/>
      <c r="V31" s="3"/>
      <c r="W31" s="283" t="s">
        <v>85</v>
      </c>
      <c r="X31" s="284"/>
      <c r="Y31" s="285" t="s">
        <v>31</v>
      </c>
      <c r="Z31" s="284"/>
      <c r="AA31" s="284" t="s">
        <v>32</v>
      </c>
      <c r="AB31" s="286"/>
    </row>
    <row r="32" spans="1:28" ht="13.8" thickTop="1" x14ac:dyDescent="0.25"/>
  </sheetData>
  <sheetProtection sheet="1" objects="1" scenarios="1"/>
  <mergeCells count="46">
    <mergeCell ref="B2:AB2"/>
    <mergeCell ref="C9:C11"/>
    <mergeCell ref="B29:C31"/>
    <mergeCell ref="K5:K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  <mergeCell ref="F31:G31"/>
    <mergeCell ref="B5:D5"/>
    <mergeCell ref="B6:D6"/>
    <mergeCell ref="J8:K8"/>
    <mergeCell ref="B8:D8"/>
    <mergeCell ref="J30:K30"/>
    <mergeCell ref="W10:X10"/>
    <mergeCell ref="Y10:Z10"/>
    <mergeCell ref="AA10:AB10"/>
    <mergeCell ref="O8:R8"/>
    <mergeCell ref="H31:I31"/>
    <mergeCell ref="M29:M31"/>
    <mergeCell ref="O29:O31"/>
    <mergeCell ref="Q29:Q31"/>
    <mergeCell ref="R29:R31"/>
    <mergeCell ref="AB5:AB6"/>
    <mergeCell ref="W5:AA6"/>
    <mergeCell ref="G5:J6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</mergeCells>
  <conditionalFormatting sqref="C16:C27">
    <cfRule type="cellIs" dxfId="641" priority="23" operator="equal">
      <formula>0</formula>
    </cfRule>
  </conditionalFormatting>
  <conditionalFormatting sqref="E5:E6 D7">
    <cfRule type="cellIs" dxfId="640" priority="76" stopIfTrue="1" operator="equal">
      <formula>"nee"</formula>
    </cfRule>
    <cfRule type="cellIs" dxfId="639" priority="75" stopIfTrue="1" operator="equal">
      <formula>"ja"</formula>
    </cfRule>
  </conditionalFormatting>
  <conditionalFormatting sqref="E16">
    <cfRule type="cellIs" dxfId="638" priority="92" stopIfTrue="1" operator="equal">
      <formula>"x"</formula>
    </cfRule>
  </conditionalFormatting>
  <conditionalFormatting sqref="F16:K27">
    <cfRule type="cellIs" dxfId="637" priority="24" operator="equal">
      <formula>""</formula>
    </cfRule>
    <cfRule type="cellIs" dxfId="636" priority="26" operator="greaterThanOrEqual">
      <formula>$K$5</formula>
    </cfRule>
    <cfRule type="cellIs" dxfId="635" priority="25" operator="lessThan">
      <formula>$K$5</formula>
    </cfRule>
  </conditionalFormatting>
  <conditionalFormatting sqref="F29:K30 M29:M31">
    <cfRule type="cellIs" dxfId="634" priority="22" operator="greaterThanOrEqual">
      <formula>$K$5</formula>
    </cfRule>
    <cfRule type="cellIs" dxfId="633" priority="20" operator="equal">
      <formula>0</formula>
    </cfRule>
    <cfRule type="cellIs" dxfId="632" priority="21" operator="lessThan">
      <formula>$K$5</formula>
    </cfRule>
  </conditionalFormatting>
  <conditionalFormatting sqref="M16 M18 M20 M22 M24 M26">
    <cfRule type="cellIs" dxfId="631" priority="32" operator="greaterThanOrEqual">
      <formula>$K$5</formula>
    </cfRule>
    <cfRule type="cellIs" dxfId="630" priority="31" operator="lessThan">
      <formula>$K$5</formula>
    </cfRule>
    <cfRule type="cellIs" dxfId="629" priority="30" operator="equal">
      <formula>""</formula>
    </cfRule>
  </conditionalFormatting>
  <conditionalFormatting sqref="O16 O18 O20 O22 O24 O26">
    <cfRule type="cellIs" dxfId="628" priority="101" stopIfTrue="1" operator="equal">
      <formula>""</formula>
    </cfRule>
    <cfRule type="cellIs" dxfId="627" priority="100" stopIfTrue="1" operator="greaterThanOrEqual">
      <formula>1</formula>
    </cfRule>
  </conditionalFormatting>
  <conditionalFormatting sqref="R16 R18 R20 R22 R24 R26 R29:R31">
    <cfRule type="cellIs" dxfId="626" priority="27" operator="equal">
      <formula>""</formula>
    </cfRule>
    <cfRule type="cellIs" dxfId="625" priority="28" operator="lessThan">
      <formula>$K$5</formula>
    </cfRule>
    <cfRule type="cellIs" dxfId="624" priority="29" operator="greaterThanOrEqual">
      <formula>$K$5</formula>
    </cfRule>
  </conditionalFormatting>
  <conditionalFormatting sqref="S16:S30">
    <cfRule type="expression" dxfId="623" priority="77" stopIfTrue="1">
      <formula>#REF!="ja"</formula>
    </cfRule>
  </conditionalFormatting>
  <conditionalFormatting sqref="T16:U28">
    <cfRule type="expression" dxfId="622" priority="80" stopIfTrue="1">
      <formula>#REF!="ja"</formula>
    </cfRule>
  </conditionalFormatting>
  <conditionalFormatting sqref="U29:V30">
    <cfRule type="expression" dxfId="621" priority="19" stopIfTrue="1">
      <formula>#REF!="ja"</formula>
    </cfRule>
  </conditionalFormatting>
  <conditionalFormatting sqref="W16:W27 Y16:Y27 AA16:AA27">
    <cfRule type="cellIs" dxfId="620" priority="18" operator="lessThan">
      <formula>0.85</formula>
    </cfRule>
    <cfRule type="cellIs" dxfId="619" priority="17" operator="greaterThanOrEqual">
      <formula>0.85</formula>
    </cfRule>
  </conditionalFormatting>
  <conditionalFormatting sqref="W29:W30 Y29:Y30 AA29:AA30">
    <cfRule type="cellIs" dxfId="607" priority="9" operator="greaterThan">
      <formula>0</formula>
    </cfRule>
    <cfRule type="cellIs" dxfId="608" priority="8" operator="greaterThanOrEqual">
      <formula>0.85</formula>
    </cfRule>
  </conditionalFormatting>
  <conditionalFormatting sqref="W16:AB27">
    <cfRule type="cellIs" dxfId="618" priority="10" operator="equal">
      <formula>""</formula>
    </cfRule>
  </conditionalFormatting>
  <conditionalFormatting sqref="W29:AB30">
    <cfRule type="cellIs" dxfId="617" priority="1" operator="equal">
      <formula>""</formula>
    </cfRule>
  </conditionalFormatting>
  <conditionalFormatting sqref="X16:X27 Z16:Z27">
    <cfRule type="cellIs" dxfId="616" priority="15" operator="greaterThan">
      <formula>0</formula>
    </cfRule>
    <cfRule type="cellIs" dxfId="615" priority="14" operator="greaterThanOrEqual">
      <formula>0.65</formula>
    </cfRule>
  </conditionalFormatting>
  <conditionalFormatting sqref="X29:X30 Z29:Z30">
    <cfRule type="cellIs" dxfId="610" priority="5" operator="greaterThanOrEqual">
      <formula>0.65</formula>
    </cfRule>
    <cfRule type="cellIs" dxfId="609" priority="6" operator="greaterThan">
      <formula>0</formula>
    </cfRule>
  </conditionalFormatting>
  <conditionalFormatting sqref="AB16:AB27">
    <cfRule type="cellIs" dxfId="614" priority="12" operator="greaterThan">
      <formula>0</formula>
    </cfRule>
    <cfRule type="cellIs" dxfId="613" priority="11" operator="greaterThan">
      <formula>0.45</formula>
    </cfRule>
  </conditionalFormatting>
  <conditionalFormatting sqref="AB29:AB30">
    <cfRule type="cellIs" dxfId="612" priority="2" operator="greaterThanOrEqual">
      <formula>0.45</formula>
    </cfRule>
    <cfRule type="cellIs" dxfId="611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8A6A-3643-41D6-BE8D-04D13627A423}">
  <sheetPr>
    <tabColor rgb="FFFF0000"/>
  </sheetPr>
  <dimension ref="B2:I40"/>
  <sheetViews>
    <sheetView showGridLines="0" showRowColHeaders="0" zoomScale="80" zoomScaleNormal="80" zoomScaleSheetLayoutView="50" workbookViewId="0">
      <selection activeCell="M15" sqref="M15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144</v>
      </c>
    </row>
    <row r="3" spans="2:9" ht="17.55" customHeight="1" x14ac:dyDescent="0.3">
      <c r="C3" s="257"/>
    </row>
    <row r="4" spans="2:9" ht="17.55" customHeight="1" x14ac:dyDescent="0.3">
      <c r="C4" s="257"/>
    </row>
    <row r="5" spans="2:9" ht="17.55" customHeight="1" x14ac:dyDescent="0.3">
      <c r="B5" s="338" t="s">
        <v>176</v>
      </c>
      <c r="C5" s="338"/>
      <c r="D5" s="338"/>
      <c r="E5" s="338"/>
      <c r="F5" s="338"/>
      <c r="G5" s="338"/>
      <c r="H5" s="338"/>
      <c r="I5" s="338"/>
    </row>
    <row r="6" spans="2:9" ht="13.8" thickBot="1" x14ac:dyDescent="0.3"/>
    <row r="7" spans="2:9" ht="16.8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146</v>
      </c>
      <c r="C12" s="334"/>
      <c r="E12" s="333" t="s">
        <v>146</v>
      </c>
      <c r="F12" s="334"/>
      <c r="H12" s="333" t="s">
        <v>146</v>
      </c>
      <c r="I12" s="334"/>
    </row>
    <row r="13" spans="2:9" ht="19.5" customHeight="1" thickBot="1" x14ac:dyDescent="0.3">
      <c r="B13" s="333"/>
      <c r="C13" s="334"/>
      <c r="E13" s="333"/>
      <c r="F13" s="334"/>
      <c r="H13" s="333"/>
      <c r="I13" s="334"/>
    </row>
    <row r="14" spans="2:9" ht="19.5" customHeight="1" thickBot="1" x14ac:dyDescent="0.3">
      <c r="B14" s="333"/>
      <c r="C14" s="334"/>
      <c r="E14" s="333"/>
      <c r="F14" s="334"/>
      <c r="H14" s="333"/>
      <c r="I14" s="334"/>
    </row>
    <row r="15" spans="2:9" ht="19.5" customHeight="1" thickBot="1" x14ac:dyDescent="0.3">
      <c r="B15" s="333"/>
      <c r="C15" s="334"/>
      <c r="E15" s="333"/>
      <c r="F15" s="334"/>
      <c r="H15" s="333"/>
      <c r="I15" s="334"/>
    </row>
    <row r="16" spans="2:9" ht="19.5" customHeight="1" thickBot="1" x14ac:dyDescent="0.3">
      <c r="B16" s="333"/>
      <c r="C16" s="334"/>
      <c r="E16" s="333"/>
      <c r="F16" s="334"/>
      <c r="H16" s="333"/>
      <c r="I16" s="334"/>
    </row>
    <row r="17" spans="2:9" ht="19.5" customHeight="1" thickBot="1" x14ac:dyDescent="0.3">
      <c r="B17" s="333"/>
      <c r="C17" s="334"/>
      <c r="E17" s="333"/>
      <c r="F17" s="334"/>
      <c r="H17" s="333"/>
      <c r="I17" s="334"/>
    </row>
    <row r="18" spans="2:9" ht="19.5" customHeight="1" thickBot="1" x14ac:dyDescent="0.3">
      <c r="B18" s="333"/>
      <c r="C18" s="334"/>
      <c r="E18" s="333"/>
      <c r="F18" s="334"/>
      <c r="H18" s="333"/>
      <c r="I18" s="334"/>
    </row>
    <row r="19" spans="2:9" ht="19.5" customHeight="1" thickBot="1" x14ac:dyDescent="0.3">
      <c r="B19" s="333"/>
      <c r="C19" s="335"/>
      <c r="E19" s="333"/>
      <c r="F19" s="335"/>
      <c r="H19" s="333"/>
      <c r="I19" s="335"/>
    </row>
    <row r="20" spans="2:9" ht="19.5" customHeight="1" thickBot="1" x14ac:dyDescent="0.3">
      <c r="B20" s="333"/>
      <c r="C20" s="335"/>
      <c r="E20" s="333"/>
      <c r="F20" s="335"/>
      <c r="H20" s="333"/>
      <c r="I20" s="335"/>
    </row>
    <row r="21" spans="2:9" ht="19.5" customHeight="1" thickBot="1" x14ac:dyDescent="0.3">
      <c r="B21" s="333"/>
      <c r="C21" s="335"/>
      <c r="E21" s="333"/>
      <c r="F21" s="335"/>
      <c r="H21" s="333"/>
      <c r="I21" s="335"/>
    </row>
    <row r="22" spans="2:9" ht="19.5" customHeight="1" thickBot="1" x14ac:dyDescent="0.3">
      <c r="B22" s="333"/>
      <c r="C22" s="335"/>
      <c r="E22" s="333"/>
      <c r="F22" s="335"/>
      <c r="H22" s="333"/>
      <c r="I22" s="335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146</v>
      </c>
      <c r="C30" s="334"/>
      <c r="E30" s="333" t="s">
        <v>146</v>
      </c>
      <c r="F30" s="334"/>
      <c r="H30" s="333" t="s">
        <v>146</v>
      </c>
      <c r="I30" s="334"/>
    </row>
    <row r="31" spans="2:9" ht="19.5" customHeight="1" thickBot="1" x14ac:dyDescent="0.3">
      <c r="B31" s="333"/>
      <c r="C31" s="334"/>
      <c r="E31" s="333"/>
      <c r="F31" s="334"/>
      <c r="H31" s="333"/>
      <c r="I31" s="334"/>
    </row>
    <row r="32" spans="2:9" ht="19.5" customHeight="1" thickBot="1" x14ac:dyDescent="0.3">
      <c r="B32" s="333"/>
      <c r="C32" s="334"/>
      <c r="E32" s="333"/>
      <c r="F32" s="334"/>
      <c r="H32" s="333"/>
      <c r="I32" s="334"/>
    </row>
    <row r="33" spans="2:9" ht="19.5" customHeight="1" thickBot="1" x14ac:dyDescent="0.3">
      <c r="B33" s="333"/>
      <c r="C33" s="334"/>
      <c r="E33" s="333"/>
      <c r="F33" s="334"/>
      <c r="H33" s="333"/>
      <c r="I33" s="334"/>
    </row>
    <row r="34" spans="2:9" ht="19.5" customHeight="1" thickBot="1" x14ac:dyDescent="0.3">
      <c r="B34" s="333"/>
      <c r="C34" s="334"/>
      <c r="E34" s="333"/>
      <c r="F34" s="334"/>
      <c r="H34" s="333"/>
      <c r="I34" s="334"/>
    </row>
    <row r="35" spans="2:9" ht="19.5" customHeight="1" thickBot="1" x14ac:dyDescent="0.3">
      <c r="B35" s="333"/>
      <c r="C35" s="334"/>
      <c r="E35" s="333"/>
      <c r="F35" s="334"/>
      <c r="H35" s="333"/>
      <c r="I35" s="334"/>
    </row>
    <row r="36" spans="2:9" ht="19.5" customHeight="1" thickBot="1" x14ac:dyDescent="0.3">
      <c r="B36" s="333"/>
      <c r="C36" s="334"/>
      <c r="E36" s="333"/>
      <c r="F36" s="334"/>
      <c r="H36" s="333"/>
      <c r="I36" s="334"/>
    </row>
    <row r="37" spans="2:9" ht="19.5" customHeight="1" thickBot="1" x14ac:dyDescent="0.3">
      <c r="B37" s="333"/>
      <c r="C37" s="335"/>
      <c r="E37" s="333"/>
      <c r="F37" s="335"/>
      <c r="H37" s="333"/>
      <c r="I37" s="335"/>
    </row>
    <row r="38" spans="2:9" ht="19.5" customHeight="1" thickBot="1" x14ac:dyDescent="0.3">
      <c r="B38" s="333"/>
      <c r="C38" s="335"/>
      <c r="E38" s="333"/>
      <c r="F38" s="335"/>
      <c r="H38" s="333"/>
      <c r="I38" s="335"/>
    </row>
    <row r="39" spans="2:9" ht="19.5" customHeight="1" thickBot="1" x14ac:dyDescent="0.3">
      <c r="B39" s="333"/>
      <c r="C39" s="335"/>
      <c r="E39" s="333"/>
      <c r="F39" s="335"/>
      <c r="H39" s="333"/>
      <c r="I39" s="335"/>
    </row>
    <row r="40" spans="2:9" ht="19.5" customHeight="1" thickBot="1" x14ac:dyDescent="0.3">
      <c r="B40" s="333"/>
      <c r="C40" s="335"/>
      <c r="E40" s="333"/>
      <c r="F40" s="335"/>
      <c r="H40" s="333"/>
      <c r="I40" s="335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1B9-FB15-4D78-B77A-2C018054BD08}">
  <sheetPr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143</v>
      </c>
    </row>
    <row r="3" spans="2:9" ht="17.55" customHeight="1" x14ac:dyDescent="0.3">
      <c r="C3" s="257"/>
    </row>
    <row r="4" spans="2:9" ht="17.55" customHeight="1" x14ac:dyDescent="0.3">
      <c r="C4" s="257" t="s">
        <v>144</v>
      </c>
    </row>
    <row r="5" spans="2:9" ht="17.55" customHeight="1" x14ac:dyDescent="0.3">
      <c r="B5" s="338" t="s">
        <v>122</v>
      </c>
      <c r="C5" s="338"/>
      <c r="D5" s="338"/>
      <c r="E5" s="338"/>
      <c r="F5" s="338"/>
      <c r="G5" s="338"/>
      <c r="H5" s="338"/>
      <c r="I5" s="338"/>
    </row>
    <row r="6" spans="2:9" ht="13.8" thickBot="1" x14ac:dyDescent="0.3"/>
    <row r="7" spans="2:9" ht="16.8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146</v>
      </c>
      <c r="C12" s="334"/>
      <c r="E12" s="333" t="s">
        <v>146</v>
      </c>
      <c r="F12" s="334"/>
      <c r="H12" s="333" t="s">
        <v>146</v>
      </c>
      <c r="I12" s="334"/>
    </row>
    <row r="13" spans="2:9" ht="19.5" customHeight="1" thickBot="1" x14ac:dyDescent="0.3">
      <c r="B13" s="333"/>
      <c r="C13" s="334"/>
      <c r="E13" s="333"/>
      <c r="F13" s="334"/>
      <c r="H13" s="333"/>
      <c r="I13" s="334"/>
    </row>
    <row r="14" spans="2:9" ht="19.5" customHeight="1" thickBot="1" x14ac:dyDescent="0.3">
      <c r="B14" s="333"/>
      <c r="C14" s="334"/>
      <c r="E14" s="333"/>
      <c r="F14" s="334"/>
      <c r="H14" s="333"/>
      <c r="I14" s="334"/>
    </row>
    <row r="15" spans="2:9" ht="19.5" customHeight="1" thickBot="1" x14ac:dyDescent="0.3">
      <c r="B15" s="333"/>
      <c r="C15" s="334"/>
      <c r="E15" s="333"/>
      <c r="F15" s="334"/>
      <c r="H15" s="333"/>
      <c r="I15" s="334"/>
    </row>
    <row r="16" spans="2:9" ht="19.5" customHeight="1" thickBot="1" x14ac:dyDescent="0.3">
      <c r="B16" s="333"/>
      <c r="C16" s="334"/>
      <c r="E16" s="333"/>
      <c r="F16" s="334"/>
      <c r="H16" s="333"/>
      <c r="I16" s="334"/>
    </row>
    <row r="17" spans="2:9" ht="19.5" customHeight="1" thickBot="1" x14ac:dyDescent="0.3">
      <c r="B17" s="333"/>
      <c r="C17" s="334"/>
      <c r="E17" s="333"/>
      <c r="F17" s="334"/>
      <c r="H17" s="333"/>
      <c r="I17" s="334"/>
    </row>
    <row r="18" spans="2:9" ht="19.5" customHeight="1" thickBot="1" x14ac:dyDescent="0.3">
      <c r="B18" s="333"/>
      <c r="C18" s="334"/>
      <c r="E18" s="333"/>
      <c r="F18" s="334"/>
      <c r="H18" s="333"/>
      <c r="I18" s="334"/>
    </row>
    <row r="19" spans="2:9" ht="19.5" customHeight="1" thickBot="1" x14ac:dyDescent="0.3">
      <c r="B19" s="333"/>
      <c r="C19" s="335"/>
      <c r="E19" s="333"/>
      <c r="F19" s="335"/>
      <c r="H19" s="333"/>
      <c r="I19" s="335"/>
    </row>
    <row r="20" spans="2:9" ht="19.5" customHeight="1" thickBot="1" x14ac:dyDescent="0.3">
      <c r="B20" s="333"/>
      <c r="C20" s="335"/>
      <c r="E20" s="333"/>
      <c r="F20" s="335"/>
      <c r="H20" s="333"/>
      <c r="I20" s="335"/>
    </row>
    <row r="21" spans="2:9" ht="19.5" customHeight="1" thickBot="1" x14ac:dyDescent="0.3">
      <c r="B21" s="333"/>
      <c r="C21" s="335"/>
      <c r="E21" s="333"/>
      <c r="F21" s="335"/>
      <c r="H21" s="333"/>
      <c r="I21" s="335"/>
    </row>
    <row r="22" spans="2:9" ht="19.5" customHeight="1" thickBot="1" x14ac:dyDescent="0.3">
      <c r="B22" s="333"/>
      <c r="C22" s="335"/>
      <c r="E22" s="333"/>
      <c r="F22" s="335"/>
      <c r="H22" s="333"/>
      <c r="I22" s="335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146</v>
      </c>
      <c r="C30" s="334"/>
      <c r="E30" s="333" t="s">
        <v>146</v>
      </c>
      <c r="F30" s="334"/>
      <c r="H30" s="333" t="s">
        <v>146</v>
      </c>
      <c r="I30" s="334"/>
    </row>
    <row r="31" spans="2:9" ht="19.5" customHeight="1" thickBot="1" x14ac:dyDescent="0.3">
      <c r="B31" s="333"/>
      <c r="C31" s="334"/>
      <c r="E31" s="333"/>
      <c r="F31" s="334"/>
      <c r="H31" s="333"/>
      <c r="I31" s="334"/>
    </row>
    <row r="32" spans="2:9" ht="19.5" customHeight="1" thickBot="1" x14ac:dyDescent="0.3">
      <c r="B32" s="333"/>
      <c r="C32" s="334"/>
      <c r="E32" s="333"/>
      <c r="F32" s="334"/>
      <c r="H32" s="333"/>
      <c r="I32" s="334"/>
    </row>
    <row r="33" spans="2:9" ht="19.5" customHeight="1" thickBot="1" x14ac:dyDescent="0.3">
      <c r="B33" s="333"/>
      <c r="C33" s="334"/>
      <c r="E33" s="333"/>
      <c r="F33" s="334"/>
      <c r="H33" s="333"/>
      <c r="I33" s="334"/>
    </row>
    <row r="34" spans="2:9" ht="19.5" customHeight="1" thickBot="1" x14ac:dyDescent="0.3">
      <c r="B34" s="333"/>
      <c r="C34" s="334"/>
      <c r="E34" s="333"/>
      <c r="F34" s="334"/>
      <c r="H34" s="333"/>
      <c r="I34" s="334"/>
    </row>
    <row r="35" spans="2:9" ht="19.5" customHeight="1" thickBot="1" x14ac:dyDescent="0.3">
      <c r="B35" s="333"/>
      <c r="C35" s="334"/>
      <c r="E35" s="333"/>
      <c r="F35" s="334"/>
      <c r="H35" s="333"/>
      <c r="I35" s="334"/>
    </row>
    <row r="36" spans="2:9" ht="19.5" customHeight="1" thickBot="1" x14ac:dyDescent="0.3">
      <c r="B36" s="333"/>
      <c r="C36" s="334"/>
      <c r="E36" s="333"/>
      <c r="F36" s="334"/>
      <c r="H36" s="333"/>
      <c r="I36" s="334"/>
    </row>
    <row r="37" spans="2:9" ht="19.5" customHeight="1" thickBot="1" x14ac:dyDescent="0.3">
      <c r="B37" s="333"/>
      <c r="C37" s="335"/>
      <c r="E37" s="333"/>
      <c r="F37" s="335"/>
      <c r="H37" s="333"/>
      <c r="I37" s="335"/>
    </row>
    <row r="38" spans="2:9" ht="19.5" customHeight="1" thickBot="1" x14ac:dyDescent="0.3">
      <c r="B38" s="333"/>
      <c r="C38" s="335"/>
      <c r="E38" s="333"/>
      <c r="F38" s="335"/>
      <c r="H38" s="333"/>
      <c r="I38" s="335"/>
    </row>
    <row r="39" spans="2:9" ht="19.5" customHeight="1" thickBot="1" x14ac:dyDescent="0.3">
      <c r="B39" s="333"/>
      <c r="C39" s="335"/>
      <c r="E39" s="333"/>
      <c r="F39" s="335"/>
      <c r="H39" s="333"/>
      <c r="I39" s="335"/>
    </row>
    <row r="40" spans="2:9" ht="19.5" customHeight="1" thickBot="1" x14ac:dyDescent="0.3">
      <c r="B40" s="333"/>
      <c r="C40" s="335"/>
      <c r="E40" s="333"/>
      <c r="F40" s="335"/>
      <c r="H40" s="333"/>
      <c r="I40" s="335"/>
    </row>
  </sheetData>
  <sheetProtection sheet="1" objects="1" scenarios="1"/>
  <mergeCells count="31"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BF8-676B-43C7-842D-711609972646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38" t="s">
        <v>149</v>
      </c>
      <c r="C5" s="338"/>
      <c r="D5" s="338"/>
      <c r="E5" s="338"/>
      <c r="F5" s="338"/>
      <c r="G5" s="338"/>
      <c r="H5" s="338"/>
      <c r="I5" s="338"/>
    </row>
    <row r="6" spans="2:9" ht="19.95" customHeight="1" thickBot="1" x14ac:dyDescent="0.3"/>
    <row r="7" spans="2:9" ht="19.95" customHeight="1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150</v>
      </c>
      <c r="C12" s="339"/>
      <c r="E12" s="333" t="s">
        <v>150</v>
      </c>
      <c r="F12" s="339"/>
      <c r="H12" s="333" t="s">
        <v>150</v>
      </c>
      <c r="I12" s="339"/>
    </row>
    <row r="13" spans="2:9" ht="19.5" customHeight="1" thickBot="1" x14ac:dyDescent="0.3">
      <c r="B13" s="333"/>
      <c r="C13" s="339"/>
      <c r="E13" s="333"/>
      <c r="F13" s="339"/>
      <c r="H13" s="333"/>
      <c r="I13" s="339"/>
    </row>
    <row r="14" spans="2:9" ht="19.5" customHeight="1" thickBot="1" x14ac:dyDescent="0.3">
      <c r="B14" s="333"/>
      <c r="C14" s="339"/>
      <c r="E14" s="333"/>
      <c r="F14" s="339"/>
      <c r="H14" s="333"/>
      <c r="I14" s="339"/>
    </row>
    <row r="15" spans="2:9" ht="19.5" customHeight="1" thickBot="1" x14ac:dyDescent="0.3">
      <c r="B15" s="333" t="s">
        <v>146</v>
      </c>
      <c r="C15" s="339"/>
      <c r="E15" s="333" t="s">
        <v>146</v>
      </c>
      <c r="F15" s="339"/>
      <c r="H15" s="333" t="s">
        <v>146</v>
      </c>
      <c r="I15" s="339"/>
    </row>
    <row r="16" spans="2:9" ht="19.5" customHeight="1" thickBot="1" x14ac:dyDescent="0.3">
      <c r="B16" s="333"/>
      <c r="C16" s="339"/>
      <c r="E16" s="333"/>
      <c r="F16" s="339"/>
      <c r="H16" s="333"/>
      <c r="I16" s="339"/>
    </row>
    <row r="17" spans="2:9" ht="19.5" customHeight="1" thickBot="1" x14ac:dyDescent="0.3">
      <c r="B17" s="333"/>
      <c r="C17" s="339"/>
      <c r="E17" s="333"/>
      <c r="F17" s="339"/>
      <c r="H17" s="333"/>
      <c r="I17" s="339"/>
    </row>
    <row r="18" spans="2:9" ht="19.5" customHeight="1" thickBot="1" x14ac:dyDescent="0.3">
      <c r="B18" s="333"/>
      <c r="C18" s="339"/>
      <c r="E18" s="333"/>
      <c r="F18" s="339"/>
      <c r="H18" s="333"/>
      <c r="I18" s="339"/>
    </row>
    <row r="19" spans="2:9" ht="19.5" customHeight="1" thickBot="1" x14ac:dyDescent="0.3">
      <c r="B19" s="333"/>
      <c r="C19" s="339"/>
      <c r="E19" s="333"/>
      <c r="F19" s="339"/>
      <c r="H19" s="333"/>
      <c r="I19" s="339"/>
    </row>
    <row r="20" spans="2:9" ht="19.5" customHeight="1" thickBot="1" x14ac:dyDescent="0.3">
      <c r="B20" s="333"/>
      <c r="C20" s="339"/>
      <c r="E20" s="333"/>
      <c r="F20" s="339"/>
      <c r="H20" s="333"/>
      <c r="I20" s="339"/>
    </row>
    <row r="21" spans="2:9" ht="19.5" customHeight="1" thickBot="1" x14ac:dyDescent="0.3">
      <c r="B21" s="333"/>
      <c r="C21" s="339"/>
      <c r="E21" s="333"/>
      <c r="F21" s="339"/>
      <c r="H21" s="333"/>
      <c r="I21" s="339"/>
    </row>
    <row r="22" spans="2:9" ht="19.5" customHeight="1" thickBot="1" x14ac:dyDescent="0.3">
      <c r="B22" s="333"/>
      <c r="C22" s="339"/>
      <c r="E22" s="333"/>
      <c r="F22" s="339"/>
      <c r="H22" s="333"/>
      <c r="I22" s="339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150</v>
      </c>
      <c r="C30" s="339"/>
      <c r="E30" s="333" t="s">
        <v>150</v>
      </c>
      <c r="F30" s="339"/>
      <c r="H30" s="333" t="s">
        <v>150</v>
      </c>
      <c r="I30" s="339"/>
    </row>
    <row r="31" spans="2:9" ht="19.5" customHeight="1" thickBot="1" x14ac:dyDescent="0.3">
      <c r="B31" s="333"/>
      <c r="C31" s="339"/>
      <c r="E31" s="333"/>
      <c r="F31" s="339"/>
      <c r="H31" s="333"/>
      <c r="I31" s="339"/>
    </row>
    <row r="32" spans="2:9" ht="19.5" customHeight="1" thickBot="1" x14ac:dyDescent="0.3">
      <c r="B32" s="333"/>
      <c r="C32" s="339"/>
      <c r="E32" s="333"/>
      <c r="F32" s="339"/>
      <c r="H32" s="333"/>
      <c r="I32" s="339"/>
    </row>
    <row r="33" spans="2:9" ht="19.5" customHeight="1" thickBot="1" x14ac:dyDescent="0.3">
      <c r="B33" s="333" t="s">
        <v>146</v>
      </c>
      <c r="C33" s="339"/>
      <c r="E33" s="333" t="s">
        <v>146</v>
      </c>
      <c r="F33" s="339"/>
      <c r="H33" s="333" t="s">
        <v>146</v>
      </c>
      <c r="I33" s="339"/>
    </row>
    <row r="34" spans="2:9" ht="19.5" customHeight="1" thickBot="1" x14ac:dyDescent="0.3">
      <c r="B34" s="333"/>
      <c r="C34" s="339"/>
      <c r="E34" s="333"/>
      <c r="F34" s="339"/>
      <c r="H34" s="333"/>
      <c r="I34" s="339"/>
    </row>
    <row r="35" spans="2:9" ht="19.5" customHeight="1" thickBot="1" x14ac:dyDescent="0.3">
      <c r="B35" s="333"/>
      <c r="C35" s="339"/>
      <c r="E35" s="333"/>
      <c r="F35" s="339"/>
      <c r="H35" s="333"/>
      <c r="I35" s="339"/>
    </row>
    <row r="36" spans="2:9" ht="19.5" customHeight="1" thickBot="1" x14ac:dyDescent="0.3">
      <c r="B36" s="333"/>
      <c r="C36" s="339"/>
      <c r="E36" s="333"/>
      <c r="F36" s="339"/>
      <c r="H36" s="333"/>
      <c r="I36" s="339"/>
    </row>
    <row r="37" spans="2:9" ht="19.5" customHeight="1" thickBot="1" x14ac:dyDescent="0.3">
      <c r="B37" s="333"/>
      <c r="C37" s="339"/>
      <c r="E37" s="333"/>
      <c r="F37" s="339"/>
      <c r="H37" s="333"/>
      <c r="I37" s="339"/>
    </row>
    <row r="38" spans="2:9" ht="19.5" customHeight="1" thickBot="1" x14ac:dyDescent="0.3">
      <c r="B38" s="333"/>
      <c r="C38" s="339"/>
      <c r="E38" s="333"/>
      <c r="F38" s="339"/>
      <c r="H38" s="333"/>
      <c r="I38" s="339"/>
    </row>
    <row r="39" spans="2:9" ht="19.5" customHeight="1" thickBot="1" x14ac:dyDescent="0.3">
      <c r="B39" s="333"/>
      <c r="C39" s="339"/>
      <c r="E39" s="333"/>
      <c r="F39" s="339"/>
      <c r="H39" s="333"/>
      <c r="I39" s="339"/>
    </row>
    <row r="40" spans="2:9" ht="19.5" customHeight="1" thickBot="1" x14ac:dyDescent="0.3">
      <c r="B40" s="333"/>
      <c r="C40" s="339"/>
      <c r="E40" s="333"/>
      <c r="F40" s="339"/>
      <c r="H40" s="333"/>
      <c r="I40" s="339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DB9-4D09-405E-A0DC-AFEA3D66137B}">
  <sheetPr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38" t="s">
        <v>151</v>
      </c>
      <c r="C5" s="338"/>
      <c r="D5" s="338"/>
      <c r="E5" s="338"/>
      <c r="F5" s="338"/>
      <c r="G5" s="338"/>
      <c r="H5" s="338"/>
      <c r="I5" s="338"/>
    </row>
    <row r="6" spans="2:9" ht="19.95" customHeight="1" thickBot="1" x14ac:dyDescent="0.3"/>
    <row r="7" spans="2:9" ht="19.95" customHeight="1" thickBot="1" x14ac:dyDescent="0.45">
      <c r="B7" s="336" t="s">
        <v>123</v>
      </c>
      <c r="C7" s="337"/>
      <c r="D7" s="207"/>
      <c r="E7" s="336" t="s">
        <v>124</v>
      </c>
      <c r="F7" s="337"/>
      <c r="G7" s="207"/>
      <c r="H7" s="336" t="s">
        <v>145</v>
      </c>
      <c r="I7" s="337"/>
    </row>
    <row r="8" spans="2:9" ht="13.8" thickBot="1" x14ac:dyDescent="0.3"/>
    <row r="9" spans="2:9" ht="19.5" customHeight="1" thickBot="1" x14ac:dyDescent="0.3">
      <c r="B9" s="333" t="s">
        <v>121</v>
      </c>
      <c r="C9" s="334"/>
      <c r="E9" s="333" t="s">
        <v>121</v>
      </c>
      <c r="F9" s="334"/>
      <c r="H9" s="333" t="s">
        <v>121</v>
      </c>
      <c r="I9" s="334"/>
    </row>
    <row r="10" spans="2:9" ht="19.5" customHeight="1" thickBot="1" x14ac:dyDescent="0.3">
      <c r="B10" s="333"/>
      <c r="C10" s="334"/>
      <c r="E10" s="333"/>
      <c r="F10" s="334"/>
      <c r="H10" s="333"/>
      <c r="I10" s="334"/>
    </row>
    <row r="11" spans="2:9" ht="19.5" customHeight="1" thickBot="1" x14ac:dyDescent="0.3">
      <c r="B11" s="333"/>
      <c r="C11" s="334"/>
      <c r="E11" s="333"/>
      <c r="F11" s="334"/>
      <c r="H11" s="333"/>
      <c r="I11" s="334"/>
    </row>
    <row r="12" spans="2:9" ht="19.5" customHeight="1" thickBot="1" x14ac:dyDescent="0.3">
      <c r="B12" s="333" t="s">
        <v>150</v>
      </c>
      <c r="C12" s="339"/>
      <c r="E12" s="333" t="s">
        <v>150</v>
      </c>
      <c r="F12" s="339"/>
      <c r="H12" s="333" t="s">
        <v>150</v>
      </c>
      <c r="I12" s="339"/>
    </row>
    <row r="13" spans="2:9" ht="19.5" customHeight="1" thickBot="1" x14ac:dyDescent="0.3">
      <c r="B13" s="333"/>
      <c r="C13" s="339"/>
      <c r="E13" s="333"/>
      <c r="F13" s="339"/>
      <c r="H13" s="333"/>
      <c r="I13" s="339"/>
    </row>
    <row r="14" spans="2:9" ht="19.5" customHeight="1" thickBot="1" x14ac:dyDescent="0.3">
      <c r="B14" s="333"/>
      <c r="C14" s="339"/>
      <c r="E14" s="333"/>
      <c r="F14" s="339"/>
      <c r="H14" s="333"/>
      <c r="I14" s="339"/>
    </row>
    <row r="15" spans="2:9" ht="19.5" customHeight="1" thickBot="1" x14ac:dyDescent="0.3">
      <c r="B15" s="333" t="s">
        <v>146</v>
      </c>
      <c r="C15" s="339"/>
      <c r="E15" s="333" t="s">
        <v>146</v>
      </c>
      <c r="F15" s="339"/>
      <c r="H15" s="333" t="s">
        <v>146</v>
      </c>
      <c r="I15" s="339"/>
    </row>
    <row r="16" spans="2:9" ht="19.5" customHeight="1" thickBot="1" x14ac:dyDescent="0.3">
      <c r="B16" s="333"/>
      <c r="C16" s="339"/>
      <c r="E16" s="333"/>
      <c r="F16" s="339"/>
      <c r="H16" s="333"/>
      <c r="I16" s="339"/>
    </row>
    <row r="17" spans="2:9" ht="19.5" customHeight="1" thickBot="1" x14ac:dyDescent="0.3">
      <c r="B17" s="333"/>
      <c r="C17" s="339"/>
      <c r="E17" s="333"/>
      <c r="F17" s="339"/>
      <c r="H17" s="333"/>
      <c r="I17" s="339"/>
    </row>
    <row r="18" spans="2:9" ht="19.5" customHeight="1" thickBot="1" x14ac:dyDescent="0.3">
      <c r="B18" s="333"/>
      <c r="C18" s="339"/>
      <c r="E18" s="333"/>
      <c r="F18" s="339"/>
      <c r="H18" s="333"/>
      <c r="I18" s="339"/>
    </row>
    <row r="19" spans="2:9" ht="19.5" customHeight="1" thickBot="1" x14ac:dyDescent="0.3">
      <c r="B19" s="333"/>
      <c r="C19" s="339"/>
      <c r="E19" s="333"/>
      <c r="F19" s="339"/>
      <c r="H19" s="333"/>
      <c r="I19" s="339"/>
    </row>
    <row r="20" spans="2:9" ht="19.5" customHeight="1" thickBot="1" x14ac:dyDescent="0.3">
      <c r="B20" s="333"/>
      <c r="C20" s="339"/>
      <c r="E20" s="333"/>
      <c r="F20" s="339"/>
      <c r="H20" s="333"/>
      <c r="I20" s="339"/>
    </row>
    <row r="21" spans="2:9" ht="19.5" customHeight="1" thickBot="1" x14ac:dyDescent="0.3">
      <c r="B21" s="333"/>
      <c r="C21" s="339"/>
      <c r="E21" s="333"/>
      <c r="F21" s="339"/>
      <c r="H21" s="333"/>
      <c r="I21" s="339"/>
    </row>
    <row r="22" spans="2:9" ht="19.5" customHeight="1" thickBot="1" x14ac:dyDescent="0.3">
      <c r="B22" s="333"/>
      <c r="C22" s="339"/>
      <c r="E22" s="333"/>
      <c r="F22" s="339"/>
      <c r="H22" s="333"/>
      <c r="I22" s="339"/>
    </row>
    <row r="24" spans="2:9" ht="13.8" thickBot="1" x14ac:dyDescent="0.3"/>
    <row r="25" spans="2:9" ht="16.8" thickBot="1" x14ac:dyDescent="0.45">
      <c r="B25" s="336" t="s">
        <v>147</v>
      </c>
      <c r="C25" s="337"/>
      <c r="D25" s="207"/>
      <c r="E25" s="336" t="s">
        <v>125</v>
      </c>
      <c r="F25" s="337"/>
      <c r="G25" s="207"/>
      <c r="H25" s="336" t="s">
        <v>148</v>
      </c>
      <c r="I25" s="337"/>
    </row>
    <row r="26" spans="2:9" ht="13.8" thickBot="1" x14ac:dyDescent="0.3"/>
    <row r="27" spans="2:9" ht="19.5" customHeight="1" thickBot="1" x14ac:dyDescent="0.3">
      <c r="B27" s="333" t="s">
        <v>121</v>
      </c>
      <c r="C27" s="334"/>
      <c r="E27" s="333" t="s">
        <v>121</v>
      </c>
      <c r="F27" s="334"/>
      <c r="H27" s="333" t="s">
        <v>121</v>
      </c>
      <c r="I27" s="334"/>
    </row>
    <row r="28" spans="2:9" ht="19.5" customHeight="1" thickBot="1" x14ac:dyDescent="0.3">
      <c r="B28" s="333"/>
      <c r="C28" s="334"/>
      <c r="E28" s="333"/>
      <c r="F28" s="334"/>
      <c r="H28" s="333"/>
      <c r="I28" s="334"/>
    </row>
    <row r="29" spans="2:9" ht="19.5" customHeight="1" thickBot="1" x14ac:dyDescent="0.3">
      <c r="B29" s="333"/>
      <c r="C29" s="334"/>
      <c r="E29" s="333"/>
      <c r="F29" s="334"/>
      <c r="H29" s="333"/>
      <c r="I29" s="334"/>
    </row>
    <row r="30" spans="2:9" ht="19.5" customHeight="1" thickBot="1" x14ac:dyDescent="0.3">
      <c r="B30" s="333" t="s">
        <v>150</v>
      </c>
      <c r="C30" s="339"/>
      <c r="E30" s="333" t="s">
        <v>150</v>
      </c>
      <c r="F30" s="339"/>
      <c r="H30" s="333" t="s">
        <v>150</v>
      </c>
      <c r="I30" s="339"/>
    </row>
    <row r="31" spans="2:9" ht="19.5" customHeight="1" thickBot="1" x14ac:dyDescent="0.3">
      <c r="B31" s="333"/>
      <c r="C31" s="339"/>
      <c r="E31" s="333"/>
      <c r="F31" s="339"/>
      <c r="H31" s="333"/>
      <c r="I31" s="339"/>
    </row>
    <row r="32" spans="2:9" ht="19.5" customHeight="1" thickBot="1" x14ac:dyDescent="0.3">
      <c r="B32" s="333"/>
      <c r="C32" s="339"/>
      <c r="E32" s="333"/>
      <c r="F32" s="339"/>
      <c r="H32" s="333"/>
      <c r="I32" s="339"/>
    </row>
    <row r="33" spans="2:9" ht="19.5" customHeight="1" thickBot="1" x14ac:dyDescent="0.3">
      <c r="B33" s="333" t="s">
        <v>146</v>
      </c>
      <c r="C33" s="339"/>
      <c r="E33" s="333" t="s">
        <v>146</v>
      </c>
      <c r="F33" s="339"/>
      <c r="H33" s="333" t="s">
        <v>146</v>
      </c>
      <c r="I33" s="339"/>
    </row>
    <row r="34" spans="2:9" ht="19.5" customHeight="1" thickBot="1" x14ac:dyDescent="0.3">
      <c r="B34" s="333"/>
      <c r="C34" s="339"/>
      <c r="E34" s="333"/>
      <c r="F34" s="339"/>
      <c r="H34" s="333"/>
      <c r="I34" s="339"/>
    </row>
    <row r="35" spans="2:9" ht="19.5" customHeight="1" thickBot="1" x14ac:dyDescent="0.3">
      <c r="B35" s="333"/>
      <c r="C35" s="339"/>
      <c r="E35" s="333"/>
      <c r="F35" s="339"/>
      <c r="H35" s="333"/>
      <c r="I35" s="339"/>
    </row>
    <row r="36" spans="2:9" ht="19.5" customHeight="1" thickBot="1" x14ac:dyDescent="0.3">
      <c r="B36" s="333"/>
      <c r="C36" s="339"/>
      <c r="E36" s="333"/>
      <c r="F36" s="339"/>
      <c r="H36" s="333"/>
      <c r="I36" s="339"/>
    </row>
    <row r="37" spans="2:9" ht="19.5" customHeight="1" thickBot="1" x14ac:dyDescent="0.3">
      <c r="B37" s="333"/>
      <c r="C37" s="339"/>
      <c r="E37" s="333"/>
      <c r="F37" s="339"/>
      <c r="H37" s="333"/>
      <c r="I37" s="339"/>
    </row>
    <row r="38" spans="2:9" ht="19.5" customHeight="1" thickBot="1" x14ac:dyDescent="0.3">
      <c r="B38" s="333"/>
      <c r="C38" s="339"/>
      <c r="E38" s="333"/>
      <c r="F38" s="339"/>
      <c r="H38" s="333"/>
      <c r="I38" s="339"/>
    </row>
    <row r="39" spans="2:9" ht="19.5" customHeight="1" thickBot="1" x14ac:dyDescent="0.3">
      <c r="B39" s="333"/>
      <c r="C39" s="339"/>
      <c r="E39" s="333"/>
      <c r="F39" s="339"/>
      <c r="H39" s="333"/>
      <c r="I39" s="339"/>
    </row>
    <row r="40" spans="2:9" ht="19.5" customHeight="1" thickBot="1" x14ac:dyDescent="0.3">
      <c r="B40" s="333"/>
      <c r="C40" s="339"/>
      <c r="E40" s="333"/>
      <c r="F40" s="339"/>
      <c r="H40" s="333"/>
      <c r="I40" s="339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19</vt:i4>
      </vt:variant>
    </vt:vector>
  </HeadingPairs>
  <TitlesOfParts>
    <vt:vector size="41" baseType="lpstr">
      <vt:lpstr>leerrendement</vt:lpstr>
      <vt:lpstr>blad verbergen</vt:lpstr>
      <vt:lpstr>schoolweging</vt:lpstr>
      <vt:lpstr>de indicatoren</vt:lpstr>
      <vt:lpstr>INTRO</vt:lpstr>
      <vt:lpstr>groep 3</vt:lpstr>
      <vt:lpstr>OP-3</vt:lpstr>
      <vt:lpstr>groep 4</vt:lpstr>
      <vt:lpstr>OP-4</vt:lpstr>
      <vt:lpstr>groep 5</vt:lpstr>
      <vt:lpstr>OP-5</vt:lpstr>
      <vt:lpstr>groep 6</vt:lpstr>
      <vt:lpstr>OP-6</vt:lpstr>
      <vt:lpstr>groep 7</vt:lpstr>
      <vt:lpstr>OP-7</vt:lpstr>
      <vt:lpstr>groep 8</vt:lpstr>
      <vt:lpstr>OP-8</vt:lpstr>
      <vt:lpstr>TOTAAL</vt:lpstr>
      <vt:lpstr>DOORGAANDE LIJN</vt:lpstr>
      <vt:lpstr>BASIS</vt:lpstr>
      <vt:lpstr>INTENSIEF</vt:lpstr>
      <vt:lpstr>VERRIJKT</vt:lpstr>
      <vt:lpstr>BASIS!Afdrukbereik</vt:lpstr>
      <vt:lpstr>'de indicatoren'!Afdrukbereik</vt:lpstr>
      <vt:lpstr>'DOORGAANDE LIJN'!Afdrukbereik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'OP-3'!Afdrukbereik</vt:lpstr>
      <vt:lpstr>'OP-4'!Afdrukbereik</vt:lpstr>
      <vt:lpstr>'OP-5'!Afdrukbereik</vt:lpstr>
      <vt:lpstr>'OP-6'!Afdrukbereik</vt:lpstr>
      <vt:lpstr>'OP-7'!Afdrukbereik</vt:lpstr>
      <vt:lpstr>'OP-8'!Afdrukbereik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Regenboog | Harrie Meinen</cp:lastModifiedBy>
  <cp:lastPrinted>2025-09-01T10:33:28Z</cp:lastPrinted>
  <dcterms:created xsi:type="dcterms:W3CDTF">2010-01-22T20:45:49Z</dcterms:created>
  <dcterms:modified xsi:type="dcterms:W3CDTF">2025-09-15T15:00:34Z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