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2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xml"/>
  <Override PartName="/xl/charts/chart15.xml" ContentType="application/vnd.openxmlformats-officedocument.drawingml.chart+xml"/>
  <Override PartName="/xl/drawings/drawing29.xml" ContentType="application/vnd.openxmlformats-officedocument.drawing+xml"/>
  <Override PartName="/xl/charts/chart16.xml" ContentType="application/vnd.openxmlformats-officedocument.drawingml.chart+xml"/>
  <Override PartName="/xl/drawings/drawing30.xml" ContentType="application/vnd.openxmlformats-officedocument.drawing+xml"/>
  <Override PartName="/xl/charts/chart17.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1.xml" ContentType="application/vnd.openxmlformats-officedocument.spreadsheetml.comments+xml"/>
  <Override PartName="/xl/drawings/drawing33.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drawings/drawing34.xml" ContentType="application/vnd.openxmlformats-officedocument.drawing+xml"/>
  <Override PartName="/xl/comments3.xml" ContentType="application/vnd.openxmlformats-officedocument.spreadsheetml.comments+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drawings/drawing35.xml" ContentType="application/vnd.openxmlformats-officedocument.drawing+xml"/>
  <Override PartName="/xl/comments4.xml" ContentType="application/vnd.openxmlformats-officedocument.spreadsheetml.comments+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drawings/drawing36.xml" ContentType="application/vnd.openxmlformats-officedocument.drawing+xml"/>
  <Override PartName="/xl/comments5.xml" ContentType="application/vnd.openxmlformats-officedocument.spreadsheetml.comments+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drawings/drawing37.xml" ContentType="application/vnd.openxmlformats-officedocument.drawing+xml"/>
  <Override PartName="/xl/comments6.xml" ContentType="application/vnd.openxmlformats-officedocument.spreadsheetml.comments+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drawings/drawing38.xml" ContentType="application/vnd.openxmlformats-officedocument.drawing+xml"/>
  <Override PartName="/xl/comments7.xml" ContentType="application/vnd.openxmlformats-officedocument.spreadsheetml.comments+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drawings/drawing39.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8.xml" ContentType="application/vnd.openxmlformats-officedocument.spreadsheetml.comments+xml"/>
  <Override PartName="/xl/charts/chart3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updateLinks="never"/>
  <mc:AlternateContent xmlns:mc="http://schemas.openxmlformats.org/markup-compatibility/2006">
    <mc:Choice Requires="x15">
      <x15ac:absPath xmlns:x15ac="http://schemas.microsoft.com/office/spreadsheetml/2010/11/ac" url="D:\GP - MRT 2021 - De Kardoen\"/>
    </mc:Choice>
  </mc:AlternateContent>
  <xr:revisionPtr revIDLastSave="0" documentId="8_{C3EF26C8-FE74-42F6-AE55-B6AEF5199366}" xr6:coauthVersionLast="46" xr6:coauthVersionMax="46" xr10:uidLastSave="{00000000-0000-0000-0000-000000000000}"/>
  <bookViews>
    <workbookView xWindow="-110" yWindow="-110" windowWidth="19420" windowHeight="10420" tabRatio="962" firstSheet="31" activeTab="31" xr2:uid="{00000000-000D-0000-FFFF-FFFF00000000}"/>
  </bookViews>
  <sheets>
    <sheet name="info-1" sheetId="156" r:id="rId1"/>
    <sheet name="info-2" sheetId="93" r:id="rId2"/>
    <sheet name="info-3" sheetId="94" r:id="rId3"/>
    <sheet name="info-4" sheetId="106" r:id="rId4"/>
    <sheet name="info-5" sheetId="129"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NIVEAU WAARDE - vorig jaar" sheetId="56" r:id="rId15"/>
    <sheet name="NIVEAU WAARDE - 1e toetsperiode" sheetId="55" r:id="rId16"/>
    <sheet name="NIVEAU WAARDE - 2e toetsperiode" sheetId="31" r:id="rId17"/>
    <sheet name="schoolweging" sheetId="177" r:id="rId18"/>
    <sheet name="Referentieniveau" sheetId="176" r:id="rId19"/>
    <sheet name="OPP vorige jaar" sheetId="135" r:id="rId20"/>
    <sheet name="OPP 1e periode" sheetId="136" r:id="rId21"/>
    <sheet name="OPP 2e periode" sheetId="134" r:id="rId22"/>
    <sheet name="ONTW.PERSPECTIEF" sheetId="123" r:id="rId23"/>
    <sheet name="DL - DLE" sheetId="170" r:id="rId24"/>
    <sheet name="OPO" sheetId="128" r:id="rId25"/>
    <sheet name="LIJV" sheetId="175" r:id="rId26"/>
    <sheet name="TOETSAFSPRAKEN EN NOTOTIES" sheetId="125" r:id="rId27"/>
    <sheet name="INTENSIEF - 1e periode" sheetId="130" r:id="rId28"/>
    <sheet name="BASISAANPAK - 1e periode" sheetId="131" r:id="rId29"/>
    <sheet name="VERRIJKT - 1e periode" sheetId="132" r:id="rId30"/>
    <sheet name="VERRIJKT - 2e periode" sheetId="140" r:id="rId31"/>
    <sheet name="BEGINBLAD" sheetId="30" r:id="rId32"/>
    <sheet name="SOCIAAL EMOTIONEEL" sheetId="169" r:id="rId33"/>
    <sheet name="TECHNISCH LEZEN - 1e periode" sheetId="126" r:id="rId34"/>
    <sheet name="BEGRIJPEND LEZEN - 1e periode" sheetId="141" r:id="rId35"/>
    <sheet name="BEGRIJPEND LEZEN - 2e periode" sheetId="144" r:id="rId36"/>
    <sheet name="SPELLEN - 2e periode" sheetId="149" r:id="rId37"/>
    <sheet name="REKENEN - 1e periode" sheetId="150" r:id="rId38"/>
    <sheet name="HOOFDREKENEN - 1e periode" sheetId="152" r:id="rId39"/>
    <sheet name="DIVERSITEIT" sheetId="164" r:id="rId40"/>
    <sheet name="SIGNALERING HB" sheetId="172" r:id="rId41"/>
    <sheet name="OUDERBRIEF" sheetId="163" r:id="rId42"/>
  </sheets>
  <externalReferences>
    <externalReference r:id="rId43"/>
  </externalReferences>
  <definedNames>
    <definedName name="_xlnm._FilterDatabase" localSheetId="34" hidden="1">'BEGRIJPEND LEZEN - 1e periode'!$C$7:$C$18</definedName>
    <definedName name="_xlnm._FilterDatabase" localSheetId="35" hidden="1">'BEGRIJPEND LEZEN - 2e periode'!$C$7:$C$18</definedName>
    <definedName name="_xlnm._FilterDatabase" localSheetId="38" hidden="1">'HOOFDREKENEN - 1e periode'!$C$7:$C$18</definedName>
    <definedName name="_xlnm._FilterDatabase" localSheetId="37" hidden="1">'REKENEN - 1e periode'!$C$7:$C$18</definedName>
    <definedName name="_xlnm._FilterDatabase" localSheetId="32" hidden="1">'SOCIAAL EMOTIONEEL'!$C$13:$C$24</definedName>
    <definedName name="_xlnm._FilterDatabase" localSheetId="36" hidden="1">'SPELLEN - 2e periode'!$C$7:$C$18</definedName>
    <definedName name="_xlnm._FilterDatabase" localSheetId="33" hidden="1">'TECHNISCH LEZEN - 1e periode'!$C$7:$C$18</definedName>
    <definedName name="_xlnm.Print_Area" localSheetId="28">'BASISAANPAK - 1e periode'!$A$3:$J$23</definedName>
    <definedName name="_xlnm.Print_Area" localSheetId="31">BEGINBLAD!$A$2:$W$46</definedName>
    <definedName name="_xlnm.Print_Area" localSheetId="34">'BEGRIJPEND LEZEN - 1e periode'!$B$1:$P$55</definedName>
    <definedName name="_xlnm.Print_Area" localSheetId="35">'BEGRIJPEND LEZEN - 2e periode'!$B$1:$P$55</definedName>
    <definedName name="_xlnm.Print_Area" localSheetId="39">DIVERSITEIT!$B$1:$AI$52</definedName>
    <definedName name="_xlnm.Print_Area" localSheetId="23">'DL - DLE'!$D$2:$AC$41</definedName>
    <definedName name="_xlnm.Print_Area" localSheetId="38">'HOOFDREKENEN - 1e periode'!$B$1:$T$55</definedName>
    <definedName name="_xlnm.Print_Area" localSheetId="3">'info-4'!$A$1:$T$79</definedName>
    <definedName name="_xlnm.Print_Area" localSheetId="4">'info-5'!$A$1:$X$47</definedName>
    <definedName name="_xlnm.Print_Area" localSheetId="27">'INTENSIEF - 1e periode'!$B$3:$I$23</definedName>
    <definedName name="_xlnm.Print_Area" localSheetId="25">LIJV!$B$2:$K$51</definedName>
    <definedName name="_xlnm.Print_Area" localSheetId="15">'NIVEAU WAARDE - 1e toetsperiode'!$A$1:$M$47</definedName>
    <definedName name="_xlnm.Print_Area" localSheetId="16">'NIVEAU WAARDE - 2e toetsperiode'!$A$1:$M$47</definedName>
    <definedName name="_xlnm.Print_Area" localSheetId="14">'NIVEAU WAARDE - vorig jaar'!$A$1:$M$47</definedName>
    <definedName name="_xlnm.Print_Area" localSheetId="22">ONTW.PERSPECTIEF!$D$2:$AD$41</definedName>
    <definedName name="_xlnm.Print_Area" localSheetId="24">OPO!$A$1:$V$40</definedName>
    <definedName name="_xlnm.Print_Area" localSheetId="20">'OPP 1e periode'!$E$2:$AD$104</definedName>
    <definedName name="_xlnm.Print_Area" localSheetId="21">'OPP 2e periode'!$E$2:$AD$104</definedName>
    <definedName name="_xlnm.Print_Area" localSheetId="19">'OPP vorige jaar'!$E$2:$AD$104</definedName>
    <definedName name="_xlnm.Print_Area" localSheetId="41">OUDERBRIEF!$A$1:$D$29</definedName>
    <definedName name="_xlnm.Print_Area" localSheetId="18">Referentieniveau!$B$2:$N$31</definedName>
    <definedName name="_xlnm.Print_Area" localSheetId="37">'REKENEN - 1e periode'!$B$1:$P$55</definedName>
    <definedName name="_xlnm.Print_Area" localSheetId="40">'SIGNALERING HB'!$B$2:$AN$37</definedName>
    <definedName name="_xlnm.Print_Area" localSheetId="32">'SOCIAAL EMOTIONEEL'!$B$1:$X$48</definedName>
    <definedName name="_xlnm.Print_Area" localSheetId="36">'SPELLEN - 2e periode'!$B$1:$P$55</definedName>
    <definedName name="_xlnm.Print_Area" localSheetId="33">'TECHNISCH LEZEN - 1e periode'!$B$1:$P$55</definedName>
    <definedName name="_xlnm.Print_Area" localSheetId="26">'TOETSAFSPRAKEN EN NOTOTIES'!$B$2:$D$26</definedName>
    <definedName name="_xlnm.Print_Area" localSheetId="29">'VERRIJKT - 1e periode'!$A$3:$J$23</definedName>
    <definedName name="_xlnm.Print_Area" localSheetId="30">'VERRIJKT - 2e periode'!$A$3:$J$23</definedName>
    <definedName name="Dropdown2" localSheetId="41">OUDERBRIEF!$B$16</definedName>
    <definedName name="n.v.t." localSheetId="25">#REF!</definedName>
    <definedName name="n.v.t." localSheetId="18">#REF!</definedName>
    <definedName name="n.v.t." localSheetId="17">#REF!</definedName>
    <definedName name="n.v.t.">#REF!</definedName>
    <definedName name="Text1" localSheetId="41">OUDERBRIEF!$C$3</definedName>
    <definedName name="Text2" localSheetId="41">OUDERBRIEF!$B$5</definedName>
    <definedName name="waar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 i="31" l="1"/>
  <c r="G51" i="31"/>
  <c r="G50" i="31" s="1"/>
  <c r="F51" i="31"/>
  <c r="E51" i="31"/>
  <c r="D51" i="31"/>
  <c r="H50" i="31"/>
  <c r="H49" i="31" s="1"/>
  <c r="V8" i="128" s="1"/>
  <c r="F50" i="31"/>
  <c r="E50" i="31"/>
  <c r="E48" i="31" s="1"/>
  <c r="S9" i="128" s="1"/>
  <c r="D50" i="31"/>
  <c r="D48" i="31" s="1"/>
  <c r="R9" i="128" s="1"/>
  <c r="F49" i="31"/>
  <c r="T8" i="128" s="1"/>
  <c r="E49" i="31"/>
  <c r="S8" i="128" s="1"/>
  <c r="F48" i="31"/>
  <c r="H51" i="55"/>
  <c r="H50" i="55" s="1"/>
  <c r="G51" i="55"/>
  <c r="G50" i="55" s="1"/>
  <c r="F51" i="55"/>
  <c r="F50" i="55" s="1"/>
  <c r="E51" i="55"/>
  <c r="D51" i="55"/>
  <c r="E50" i="55"/>
  <c r="E49" i="55" s="1"/>
  <c r="M8" i="128" s="1"/>
  <c r="D50" i="55"/>
  <c r="D48" i="55" s="1"/>
  <c r="L9" i="128" s="1"/>
  <c r="E48" i="55"/>
  <c r="M9" i="128" s="1"/>
  <c r="H51" i="56"/>
  <c r="G51" i="56"/>
  <c r="G50" i="56" s="1"/>
  <c r="F51" i="56"/>
  <c r="F50" i="56" s="1"/>
  <c r="E51" i="56"/>
  <c r="D51" i="56"/>
  <c r="H50" i="56"/>
  <c r="H48" i="56" s="1"/>
  <c r="H9" i="128" s="1"/>
  <c r="E50" i="56"/>
  <c r="D50" i="56"/>
  <c r="D48" i="56" s="1"/>
  <c r="D9" i="128" s="1"/>
  <c r="H49" i="56"/>
  <c r="H8" i="128" s="1"/>
  <c r="E49" i="56"/>
  <c r="E8" i="128" s="1"/>
  <c r="E48" i="56"/>
  <c r="T9" i="128"/>
  <c r="E46" i="31"/>
  <c r="H45" i="31"/>
  <c r="H46" i="31" s="1"/>
  <c r="G45" i="31"/>
  <c r="G46" i="31" s="1"/>
  <c r="F45" i="31"/>
  <c r="F46" i="31" s="1"/>
  <c r="E45" i="31"/>
  <c r="D45" i="31"/>
  <c r="D46" i="31" s="1"/>
  <c r="E46" i="55"/>
  <c r="H45" i="55"/>
  <c r="H46" i="55" s="1"/>
  <c r="G45" i="55"/>
  <c r="G46" i="55" s="1"/>
  <c r="F45" i="55"/>
  <c r="F46" i="55" s="1"/>
  <c r="E45" i="55"/>
  <c r="D45" i="55"/>
  <c r="D46" i="55" s="1"/>
  <c r="E45" i="56"/>
  <c r="E46" i="56" s="1"/>
  <c r="F45" i="56"/>
  <c r="G45" i="56"/>
  <c r="H45" i="56"/>
  <c r="Y45" i="56"/>
  <c r="X45" i="56"/>
  <c r="W45" i="56"/>
  <c r="V45" i="56"/>
  <c r="U45" i="56"/>
  <c r="H46" i="56"/>
  <c r="G46" i="56"/>
  <c r="F46" i="56"/>
  <c r="D45" i="56"/>
  <c r="D46" i="56" s="1"/>
  <c r="Y45" i="55"/>
  <c r="X45" i="55"/>
  <c r="W45" i="55"/>
  <c r="V45" i="55"/>
  <c r="U45" i="55"/>
  <c r="G49" i="31" l="1"/>
  <c r="U8" i="128" s="1"/>
  <c r="G48" i="31"/>
  <c r="U9" i="128" s="1"/>
  <c r="H48" i="31"/>
  <c r="V9" i="128" s="1"/>
  <c r="D49" i="31"/>
  <c r="R8" i="128" s="1"/>
  <c r="H49" i="55"/>
  <c r="P8" i="128" s="1"/>
  <c r="H48" i="55"/>
  <c r="F49" i="55"/>
  <c r="N8" i="128" s="1"/>
  <c r="F48" i="55"/>
  <c r="N9" i="128" s="1"/>
  <c r="G49" i="55"/>
  <c r="O8" i="128" s="1"/>
  <c r="G48" i="55"/>
  <c r="O9" i="128" s="1"/>
  <c r="D49" i="55"/>
  <c r="L8" i="128" s="1"/>
  <c r="P9" i="128"/>
  <c r="F48" i="56"/>
  <c r="F9" i="128" s="1"/>
  <c r="F49" i="56"/>
  <c r="F8" i="128" s="1"/>
  <c r="G48" i="56"/>
  <c r="G9" i="128" s="1"/>
  <c r="G49" i="56"/>
  <c r="G8" i="128" s="1"/>
  <c r="D49" i="56"/>
  <c r="D8" i="128" s="1"/>
  <c r="E9" i="128"/>
  <c r="B2" i="128"/>
  <c r="X45" i="31" l="1"/>
  <c r="D20" i="176" l="1"/>
  <c r="E6" i="176" s="1"/>
  <c r="D18" i="176"/>
  <c r="E5" i="176" s="1"/>
  <c r="D12" i="176"/>
  <c r="E4" i="176" s="1"/>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E3" i="176"/>
  <c r="Q48" i="31"/>
  <c r="P48" i="31"/>
  <c r="O48" i="31"/>
  <c r="Q47" i="31"/>
  <c r="P47" i="31"/>
  <c r="O47" i="31"/>
  <c r="R44" i="31"/>
  <c r="R43" i="31"/>
  <c r="R42" i="31"/>
  <c r="R41" i="31"/>
  <c r="R40" i="31"/>
  <c r="R39" i="31"/>
  <c r="R38" i="31"/>
  <c r="R37" i="31"/>
  <c r="R36" i="31"/>
  <c r="R35" i="31"/>
  <c r="R34" i="31"/>
  <c r="R33" i="31"/>
  <c r="R32" i="31"/>
  <c r="R31" i="31"/>
  <c r="R30" i="31"/>
  <c r="R29" i="31"/>
  <c r="R28" i="31"/>
  <c r="R27" i="31"/>
  <c r="R26" i="31"/>
  <c r="R25" i="31"/>
  <c r="R24" i="31"/>
  <c r="R23" i="31"/>
  <c r="R22" i="31"/>
  <c r="R21" i="31"/>
  <c r="R20" i="31"/>
  <c r="R19" i="31"/>
  <c r="R18" i="31"/>
  <c r="R17" i="31"/>
  <c r="R16" i="31"/>
  <c r="R15" i="31"/>
  <c r="R14" i="31"/>
  <c r="R13" i="31"/>
  <c r="R12" i="31"/>
  <c r="R11" i="31"/>
  <c r="R10" i="31"/>
  <c r="R9" i="31"/>
  <c r="Q48" i="55"/>
  <c r="P48" i="55"/>
  <c r="O48" i="55"/>
  <c r="Q47" i="55"/>
  <c r="P47" i="55"/>
  <c r="O47" i="55"/>
  <c r="O49" i="55" s="1"/>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Q48" i="56"/>
  <c r="P48" i="56"/>
  <c r="O48" i="56"/>
  <c r="Q47" i="56"/>
  <c r="Q49" i="56" s="1"/>
  <c r="P47" i="56"/>
  <c r="O47" i="56"/>
  <c r="R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H2" i="175"/>
  <c r="H13" i="175"/>
  <c r="H24" i="175"/>
  <c r="H35" i="175"/>
  <c r="D47" i="175"/>
  <c r="E47" i="175"/>
  <c r="F47" i="175"/>
  <c r="G47" i="175"/>
  <c r="D48" i="175"/>
  <c r="E48" i="175"/>
  <c r="F48" i="175"/>
  <c r="G48" i="175"/>
  <c r="D49" i="175"/>
  <c r="E49" i="175"/>
  <c r="F49" i="175"/>
  <c r="G49" i="175"/>
  <c r="D50" i="175"/>
  <c r="E50" i="175"/>
  <c r="F50" i="175"/>
  <c r="G50" i="175"/>
  <c r="D51" i="175"/>
  <c r="E51" i="175"/>
  <c r="F51" i="175"/>
  <c r="G51" i="175"/>
  <c r="Q49" i="55" l="1"/>
  <c r="O49" i="31"/>
  <c r="P49" i="31"/>
  <c r="P49" i="55"/>
  <c r="P49" i="56"/>
  <c r="O49" i="56"/>
  <c r="Q49" i="31"/>
  <c r="C47" i="175"/>
  <c r="H50" i="175"/>
  <c r="H48" i="175"/>
  <c r="H49" i="175"/>
  <c r="H51" i="175"/>
  <c r="AD2" i="123" l="1"/>
  <c r="AD2" i="134"/>
  <c r="AD2" i="136"/>
  <c r="AD2" i="135"/>
  <c r="R40" i="152" l="1"/>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G40" i="30" l="1"/>
  <c r="F40" i="30"/>
  <c r="G39" i="30"/>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AO21" i="172" l="1"/>
  <c r="F33" i="172"/>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F3" i="172"/>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C21" i="172"/>
  <c r="AC35" i="172" s="1"/>
  <c r="AB21" i="172"/>
  <c r="AA21" i="172"/>
  <c r="AA35" i="172" s="1"/>
  <c r="Z21" i="172"/>
  <c r="Z35" i="172" s="1"/>
  <c r="Y21" i="172"/>
  <c r="Y34" i="172" s="1"/>
  <c r="X21" i="172"/>
  <c r="X34" i="172" s="1"/>
  <c r="W21" i="172"/>
  <c r="W34" i="172" s="1"/>
  <c r="V21" i="172"/>
  <c r="V35" i="172" s="1"/>
  <c r="U21" i="172"/>
  <c r="T21" i="172"/>
  <c r="S21" i="172"/>
  <c r="S35" i="172" s="1"/>
  <c r="R21" i="172"/>
  <c r="Q21" i="172"/>
  <c r="Q34" i="172" s="1"/>
  <c r="P21" i="172"/>
  <c r="P34" i="172" s="1"/>
  <c r="O21" i="172"/>
  <c r="O34" i="172" s="1"/>
  <c r="N21" i="172"/>
  <c r="N35" i="172" s="1"/>
  <c r="M21" i="172"/>
  <c r="L21" i="172"/>
  <c r="K21" i="172"/>
  <c r="K35" i="172" s="1"/>
  <c r="J21" i="172"/>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F22" i="172" s="1"/>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AM5" i="172"/>
  <c r="AL5" i="172"/>
  <c r="AK5" i="172"/>
  <c r="AJ5" i="172"/>
  <c r="AI5" i="172"/>
  <c r="AH5" i="172"/>
  <c r="AG5" i="172"/>
  <c r="AF5" i="172"/>
  <c r="AE5" i="172"/>
  <c r="AD5" i="172"/>
  <c r="AC5" i="172"/>
  <c r="AB5" i="172"/>
  <c r="AA5" i="172"/>
  <c r="Z5" i="172"/>
  <c r="Y5" i="172"/>
  <c r="X5" i="172"/>
  <c r="W5" i="172"/>
  <c r="V5" i="172"/>
  <c r="U5" i="172"/>
  <c r="T5" i="172"/>
  <c r="S5" i="172"/>
  <c r="R5" i="172"/>
  <c r="Q5" i="172"/>
  <c r="P5" i="172"/>
  <c r="O5" i="172"/>
  <c r="N5" i="172"/>
  <c r="M5" i="172"/>
  <c r="L5" i="172"/>
  <c r="K5" i="172"/>
  <c r="J5" i="172"/>
  <c r="I5" i="172"/>
  <c r="H5" i="172"/>
  <c r="G5" i="172"/>
  <c r="F5" i="172"/>
  <c r="AE22" i="172" l="1"/>
  <c r="AE37" i="172" s="1"/>
  <c r="T35" i="172"/>
  <c r="AB35" i="172"/>
  <c r="AD35" i="172"/>
  <c r="M35" i="172"/>
  <c r="R35" i="172"/>
  <c r="J35" i="172"/>
  <c r="Q22" i="172"/>
  <c r="Q37" i="172" s="1"/>
  <c r="AG22" i="172"/>
  <c r="I22" i="172"/>
  <c r="Y22" i="172"/>
  <c r="Y37" i="172" s="1"/>
  <c r="W22" i="172"/>
  <c r="W37" i="172" s="1"/>
  <c r="X22" i="172"/>
  <c r="X37" i="172" s="1"/>
  <c r="Z22" i="172"/>
  <c r="Z37" i="172" s="1"/>
  <c r="S22" i="172"/>
  <c r="S37" i="172" s="1"/>
  <c r="AA22" i="172"/>
  <c r="AA37" i="172" s="1"/>
  <c r="L22" i="172"/>
  <c r="L37" i="172" s="1"/>
  <c r="T22" i="172"/>
  <c r="AB22" i="172"/>
  <c r="AB37" i="172" s="1"/>
  <c r="U22" i="172"/>
  <c r="AC22" i="172"/>
  <c r="AC37" i="172" s="1"/>
  <c r="V22" i="172"/>
  <c r="V37" i="172" s="1"/>
  <c r="AD22" i="172"/>
  <c r="AD37" i="172" s="1"/>
  <c r="H22" i="172"/>
  <c r="P22" i="172"/>
  <c r="P37" i="172" s="1"/>
  <c r="J22" i="172"/>
  <c r="R22" i="172"/>
  <c r="K22" i="172"/>
  <c r="K37" i="172" s="1"/>
  <c r="M22" i="172"/>
  <c r="M37" i="172" s="1"/>
  <c r="G22" i="172"/>
  <c r="O22" i="172"/>
  <c r="AO22" i="172"/>
  <c r="AG37" i="172"/>
  <c r="N22" i="172"/>
  <c r="N37" i="172" s="1"/>
  <c r="AL37" i="172"/>
  <c r="AK37" i="172"/>
  <c r="L35" i="172"/>
  <c r="AJ35" i="172"/>
  <c r="U35" i="172"/>
  <c r="AK35" i="172"/>
  <c r="AJ37" i="172"/>
  <c r="AI37" i="172"/>
  <c r="AH37" i="172"/>
  <c r="AO35" i="172"/>
  <c r="AO34" i="172"/>
  <c r="F35" i="172"/>
  <c r="J34" i="172"/>
  <c r="R34" i="172"/>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J34" i="172"/>
  <c r="I35" i="172"/>
  <c r="I36" i="172" s="1"/>
  <c r="I37" i="172" s="1"/>
  <c r="Q35" i="172"/>
  <c r="Q36" i="172" s="1"/>
  <c r="Y35" i="172"/>
  <c r="Y36" i="172" s="1"/>
  <c r="AG35" i="172"/>
  <c r="AG36" i="172" s="1"/>
  <c r="M34" i="172"/>
  <c r="U34" i="172"/>
  <c r="AC34" i="172"/>
  <c r="AC36" i="172" s="1"/>
  <c r="AK34" i="172"/>
  <c r="F34" i="172"/>
  <c r="N34" i="172"/>
  <c r="N36" i="172" s="1"/>
  <c r="V34" i="172"/>
  <c r="V36" i="172" s="1"/>
  <c r="AD34" i="172"/>
  <c r="AD36" i="172" s="1"/>
  <c r="AL34" i="172"/>
  <c r="AL36" i="172" s="1"/>
  <c r="AB36" i="172" l="1"/>
  <c r="R36" i="172"/>
  <c r="R37" i="172" s="1"/>
  <c r="AO36" i="172"/>
  <c r="AO37" i="172" s="1"/>
  <c r="M36" i="172"/>
  <c r="J36" i="172"/>
  <c r="J37" i="172" s="1"/>
  <c r="T37" i="172"/>
  <c r="H37" i="172"/>
  <c r="AK36" i="172"/>
  <c r="O37" i="172"/>
  <c r="G37" i="172"/>
  <c r="L36" i="172"/>
  <c r="AJ36" i="172"/>
  <c r="U36" i="172"/>
  <c r="U37" i="172" s="1"/>
  <c r="F36" i="172"/>
  <c r="F37" i="172" s="1"/>
  <c r="X13" i="170"/>
  <c r="W13" i="170"/>
  <c r="V13" i="170"/>
  <c r="Q13" i="170"/>
  <c r="J42" i="31"/>
  <c r="L42" i="31" s="1"/>
  <c r="M42" i="31" s="1"/>
  <c r="I42" i="3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J42" i="55"/>
  <c r="L42" i="55" s="1"/>
  <c r="M42" i="55" s="1"/>
  <c r="I42" i="55"/>
  <c r="Y45" i="31"/>
  <c r="W45" i="31"/>
  <c r="V45" i="31"/>
  <c r="U45" i="31"/>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U13" i="170" s="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T13" i="170" s="1"/>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J42" i="56"/>
  <c r="L42" i="56" s="1"/>
  <c r="M42" i="56" s="1"/>
  <c r="AA42" i="56"/>
  <c r="AC42" i="56" s="1"/>
  <c r="Z42" i="56"/>
  <c r="AB2" i="56"/>
  <c r="V4" i="56"/>
  <c r="W4" i="56"/>
  <c r="X4" i="56"/>
  <c r="Y4" i="56"/>
  <c r="V3" i="56"/>
  <c r="W3" i="56"/>
  <c r="X3" i="56"/>
  <c r="Y3" i="56"/>
  <c r="U4" i="56"/>
  <c r="U3" i="56"/>
  <c r="T10" i="56"/>
  <c r="T11" i="56"/>
  <c r="T12" i="56"/>
  <c r="T13" i="56"/>
  <c r="T14" i="56"/>
  <c r="T15" i="56"/>
  <c r="T16" i="56"/>
  <c r="T17" i="56"/>
  <c r="T18" i="56"/>
  <c r="T19" i="56"/>
  <c r="T20" i="56"/>
  <c r="J13" i="170" s="1"/>
  <c r="T21" i="56"/>
  <c r="T22" i="56"/>
  <c r="T23" i="56"/>
  <c r="T24" i="56"/>
  <c r="T25" i="56"/>
  <c r="T26" i="56"/>
  <c r="T27" i="56"/>
  <c r="T28" i="56"/>
  <c r="T29" i="56"/>
  <c r="T30" i="56"/>
  <c r="T31" i="56"/>
  <c r="T32" i="56"/>
  <c r="T33" i="56"/>
  <c r="T34" i="56"/>
  <c r="T35" i="56"/>
  <c r="T36" i="56"/>
  <c r="T37" i="56"/>
  <c r="T38" i="56"/>
  <c r="T39" i="56"/>
  <c r="T40" i="56"/>
  <c r="T41" i="56"/>
  <c r="T42" i="56"/>
  <c r="T43" i="56"/>
  <c r="T44" i="56"/>
  <c r="T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Z45" i="56" s="1"/>
  <c r="AA45" i="56" l="1"/>
  <c r="Z45" i="55"/>
  <c r="AA45" i="55"/>
  <c r="L13" i="170"/>
  <c r="R13" i="170"/>
  <c r="O13" i="170"/>
  <c r="K13" i="170"/>
  <c r="N13" i="170"/>
  <c r="S13" i="170"/>
  <c r="P13" i="170"/>
  <c r="M13" i="170"/>
  <c r="AC29" i="56"/>
  <c r="AD29" i="56" s="1"/>
  <c r="AC40" i="56"/>
  <c r="AC43" i="55"/>
  <c r="AC19" i="31"/>
  <c r="AC44" i="56"/>
  <c r="AD43" i="56"/>
  <c r="AC35" i="55"/>
  <c r="AC41" i="56"/>
  <c r="AD38" i="56"/>
  <c r="AC23" i="31"/>
  <c r="AD23" i="31" s="1"/>
  <c r="AC27" i="31"/>
  <c r="AC35" i="31"/>
  <c r="AC39" i="31"/>
  <c r="AC26" i="31"/>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Z45" i="31"/>
  <c r="AA45" i="3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D33" i="55" s="1"/>
  <c r="AC37" i="55"/>
  <c r="AD37" i="55" s="1"/>
  <c r="AD41" i="55"/>
  <c r="AC19" i="55"/>
  <c r="AD19" i="55" s="1"/>
  <c r="AC10" i="55"/>
  <c r="AD10" i="55" s="1"/>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C19" i="56"/>
  <c r="AD19" i="56" s="1"/>
  <c r="AC31" i="56"/>
  <c r="AD31" i="56" s="1"/>
  <c r="AC15" i="56"/>
  <c r="AD15" i="56" s="1"/>
  <c r="AC35" i="56"/>
  <c r="AD35" i="56" s="1"/>
  <c r="AC11" i="56"/>
  <c r="AD11" i="56" s="1"/>
  <c r="AC27" i="56"/>
  <c r="AD27" i="56" s="1"/>
  <c r="AC25" i="56"/>
  <c r="AD25" i="56" s="1"/>
  <c r="AC18" i="56"/>
  <c r="AD18" i="56" s="1"/>
  <c r="AC26" i="56"/>
  <c r="AD26" i="56" s="1"/>
  <c r="AC34" i="56"/>
  <c r="AD34" i="56" s="1"/>
  <c r="AC24" i="56"/>
  <c r="AD24" i="56" s="1"/>
  <c r="AC28" i="56"/>
  <c r="AD28" i="56" s="1"/>
  <c r="AC32" i="56"/>
  <c r="AD32" i="56" s="1"/>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l="1"/>
  <c r="AC45" i="56"/>
  <c r="AC45" i="55"/>
  <c r="AB13" i="170"/>
  <c r="AA13" i="170"/>
  <c r="AC45" i="31"/>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AA3" i="123"/>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Y8" i="128"/>
  <c r="Y9" i="128"/>
  <c r="Z13" i="170" l="1"/>
  <c r="I6" i="140" l="1"/>
  <c r="I8" i="140"/>
  <c r="F17" i="140"/>
  <c r="F19" i="140"/>
  <c r="F6" i="140"/>
  <c r="F8" i="140"/>
  <c r="C17" i="140"/>
  <c r="C19" i="140"/>
  <c r="C8" i="140"/>
  <c r="C6" i="140"/>
  <c r="F2" i="149"/>
  <c r="F2" i="144"/>
  <c r="C2" i="149"/>
  <c r="C2" i="144"/>
  <c r="G35" i="152" l="1"/>
  <c r="G36" i="152"/>
  <c r="G37" i="152"/>
  <c r="G38" i="152"/>
  <c r="G39" i="152"/>
  <c r="G40" i="152"/>
  <c r="H37" i="152"/>
  <c r="H38" i="152"/>
  <c r="H39" i="152"/>
  <c r="H40" i="152"/>
  <c r="G36" i="150"/>
  <c r="G37" i="150"/>
  <c r="G38" i="150"/>
  <c r="G39" i="150"/>
  <c r="G40" i="150"/>
  <c r="H37" i="150"/>
  <c r="H38" i="150"/>
  <c r="H39" i="150"/>
  <c r="H40" i="150"/>
  <c r="K36" i="150"/>
  <c r="K37" i="150"/>
  <c r="K38" i="150"/>
  <c r="K39" i="150"/>
  <c r="K40" i="150"/>
  <c r="L37" i="150"/>
  <c r="L38" i="150"/>
  <c r="L39" i="150"/>
  <c r="L40" i="150"/>
  <c r="H37" i="149"/>
  <c r="H38" i="149"/>
  <c r="H39" i="149"/>
  <c r="H40" i="149"/>
  <c r="G37" i="149"/>
  <c r="G38" i="149"/>
  <c r="G39" i="149"/>
  <c r="G40" i="149"/>
  <c r="G38" i="144"/>
  <c r="G39" i="144"/>
  <c r="G40" i="144"/>
  <c r="H37" i="144"/>
  <c r="H38" i="144"/>
  <c r="H39" i="144"/>
  <c r="H40" i="144"/>
  <c r="H37" i="141"/>
  <c r="H38" i="141"/>
  <c r="H39" i="141"/>
  <c r="H40" i="141"/>
  <c r="G37" i="141"/>
  <c r="G38" i="141"/>
  <c r="G39" i="141"/>
  <c r="G40" i="141"/>
  <c r="G36" i="126"/>
  <c r="G37" i="126"/>
  <c r="G38" i="126"/>
  <c r="G39" i="126"/>
  <c r="G40" i="126"/>
  <c r="H37" i="126"/>
  <c r="H38" i="126"/>
  <c r="H39" i="126"/>
  <c r="H40" i="126"/>
  <c r="C14" i="164" l="1"/>
  <c r="I14" i="164" s="1"/>
  <c r="C15" i="164"/>
  <c r="I15" i="164" s="1"/>
  <c r="J15" i="164" s="1"/>
  <c r="C16" i="164"/>
  <c r="C17" i="164"/>
  <c r="C18" i="164"/>
  <c r="I18" i="164" s="1"/>
  <c r="J18" i="164" s="1"/>
  <c r="C19" i="164"/>
  <c r="C20" i="164"/>
  <c r="I20" i="164" s="1"/>
  <c r="J20" i="164" s="1"/>
  <c r="C21" i="164"/>
  <c r="C22" i="164"/>
  <c r="I22" i="164" s="1"/>
  <c r="J22" i="164" s="1"/>
  <c r="C23" i="164"/>
  <c r="C24" i="164"/>
  <c r="I24" i="164" s="1"/>
  <c r="J24" i="164" s="1"/>
  <c r="C25" i="164"/>
  <c r="C26" i="164"/>
  <c r="I26" i="164" s="1"/>
  <c r="J26" i="164" s="1"/>
  <c r="C27" i="164"/>
  <c r="C28" i="164"/>
  <c r="I28" i="164" s="1"/>
  <c r="J28" i="164" s="1"/>
  <c r="C29" i="164"/>
  <c r="C30" i="164"/>
  <c r="I30" i="164" s="1"/>
  <c r="J30" i="164" s="1"/>
  <c r="C31" i="164"/>
  <c r="I31" i="164" s="1"/>
  <c r="J31" i="164" s="1"/>
  <c r="C32" i="164"/>
  <c r="I32" i="164" s="1"/>
  <c r="C33" i="164"/>
  <c r="I33" i="164" s="1"/>
  <c r="C34" i="164"/>
  <c r="I34" i="164" s="1"/>
  <c r="J34" i="164" s="1"/>
  <c r="C35" i="164"/>
  <c r="I35" i="164" s="1"/>
  <c r="C36" i="164"/>
  <c r="C37" i="164"/>
  <c r="I37" i="164" s="1"/>
  <c r="C38" i="164"/>
  <c r="I38" i="164" s="1"/>
  <c r="C39" i="164"/>
  <c r="C40" i="164"/>
  <c r="C41" i="164"/>
  <c r="I41" i="164" s="1"/>
  <c r="C42" i="164"/>
  <c r="C43" i="164"/>
  <c r="C44" i="164"/>
  <c r="C45" i="164"/>
  <c r="C46" i="164"/>
  <c r="C47" i="164"/>
  <c r="C48" i="164"/>
  <c r="C49" i="164"/>
  <c r="AA47" i="164"/>
  <c r="AA46" i="164"/>
  <c r="AA45" i="164"/>
  <c r="AA44" i="164"/>
  <c r="AA43" i="164"/>
  <c r="AA39" i="164"/>
  <c r="AA38" i="164"/>
  <c r="AA37" i="164"/>
  <c r="AA36" i="164"/>
  <c r="AA35" i="164"/>
  <c r="AA34" i="164"/>
  <c r="AA33" i="164"/>
  <c r="AA32" i="164"/>
  <c r="AA28" i="164"/>
  <c r="AA27" i="164"/>
  <c r="AA26" i="164"/>
  <c r="AA25" i="164"/>
  <c r="AA24" i="164"/>
  <c r="AA23" i="164"/>
  <c r="AA22" i="164"/>
  <c r="AA21" i="164"/>
  <c r="AA20" i="164"/>
  <c r="AA19" i="164"/>
  <c r="AA18" i="164"/>
  <c r="AC9" i="164"/>
  <c r="AD14" i="164" s="1"/>
  <c r="AA29" i="164" l="1"/>
  <c r="AA40" i="164"/>
  <c r="AF9" i="164" s="1"/>
  <c r="J41" i="164"/>
  <c r="I40" i="164"/>
  <c r="J40" i="164" s="1"/>
  <c r="AA48" i="164"/>
  <c r="AG9" i="164" s="1"/>
  <c r="I43" i="164"/>
  <c r="J43" i="164" s="1"/>
  <c r="I36" i="164"/>
  <c r="J36" i="164" s="1"/>
  <c r="J38" i="164"/>
  <c r="J32" i="164"/>
  <c r="I49" i="164"/>
  <c r="J49" i="164" s="1"/>
  <c r="I45" i="164"/>
  <c r="J45" i="164" s="1"/>
  <c r="I39" i="164"/>
  <c r="J39" i="164" s="1"/>
  <c r="I47" i="164"/>
  <c r="J47" i="164" s="1"/>
  <c r="J33" i="164"/>
  <c r="J37" i="164"/>
  <c r="I16" i="164"/>
  <c r="J16" i="164" s="1"/>
  <c r="I19" i="164"/>
  <c r="J19" i="164" s="1"/>
  <c r="I21" i="164"/>
  <c r="J21" i="164" s="1"/>
  <c r="I23" i="164"/>
  <c r="J23" i="164" s="1"/>
  <c r="I25" i="164"/>
  <c r="J25" i="164" s="1"/>
  <c r="I27" i="164"/>
  <c r="J27" i="164" s="1"/>
  <c r="I29" i="164"/>
  <c r="J29" i="164" s="1"/>
  <c r="I44" i="164"/>
  <c r="J44" i="164" s="1"/>
  <c r="I46" i="164"/>
  <c r="J46" i="164" s="1"/>
  <c r="I48" i="164"/>
  <c r="J48" i="164" s="1"/>
  <c r="I42" i="164"/>
  <c r="J42" i="164" s="1"/>
  <c r="I17" i="164"/>
  <c r="J17" i="164" s="1"/>
  <c r="J35" i="164"/>
  <c r="J14" i="164"/>
  <c r="G4" i="30"/>
  <c r="F4" i="30"/>
  <c r="AA15" i="164" l="1"/>
  <c r="AA50" i="164" s="1"/>
  <c r="AE9" i="164"/>
  <c r="T37" i="152"/>
  <c r="T39" i="152"/>
  <c r="T26" i="152"/>
  <c r="T28" i="152"/>
  <c r="T15" i="152"/>
  <c r="T17" i="152"/>
  <c r="AD9" i="164" l="1"/>
  <c r="AH9" i="164" s="1"/>
  <c r="AA51" i="164"/>
  <c r="AA52" i="164" s="1"/>
  <c r="AI9" i="164" s="1"/>
  <c r="AG17" i="164" s="1"/>
  <c r="AG16" i="164" s="1"/>
  <c r="AI16" i="164" s="1"/>
  <c r="F39" i="152"/>
  <c r="F40" i="152"/>
  <c r="F39" i="150"/>
  <c r="F40" i="150"/>
  <c r="F39" i="149"/>
  <c r="F40" i="149"/>
  <c r="F39" i="144"/>
  <c r="F40" i="144"/>
  <c r="F39" i="141"/>
  <c r="F40" i="141"/>
  <c r="F39" i="126"/>
  <c r="F40" i="126"/>
  <c r="I2" i="123"/>
  <c r="B41" i="123"/>
  <c r="F2" i="134"/>
  <c r="B39" i="134"/>
  <c r="F2" i="136"/>
  <c r="B39" i="136"/>
  <c r="F2" i="135"/>
  <c r="B39" i="135"/>
  <c r="C42" i="31"/>
  <c r="C43" i="31"/>
  <c r="C44" i="31"/>
  <c r="C40" i="56"/>
  <c r="I40" i="56" s="1"/>
  <c r="C41" i="56"/>
  <c r="I41" i="56" s="1"/>
  <c r="C42" i="56"/>
  <c r="I42" i="56" s="1"/>
  <c r="C43" i="56"/>
  <c r="I43" i="56" s="1"/>
  <c r="C44" i="56"/>
  <c r="I44" i="56" s="1"/>
  <c r="C42" i="55"/>
  <c r="C43" i="55"/>
  <c r="C44" i="55"/>
  <c r="D41" i="30"/>
  <c r="C47" i="56" s="1"/>
  <c r="H5" i="152"/>
  <c r="H6" i="152"/>
  <c r="H7" i="152"/>
  <c r="H8" i="152"/>
  <c r="H9" i="152"/>
  <c r="H10" i="152"/>
  <c r="H11" i="152"/>
  <c r="H12" i="152"/>
  <c r="H13" i="152"/>
  <c r="H14" i="152"/>
  <c r="H15" i="152"/>
  <c r="H16" i="152"/>
  <c r="H17" i="152"/>
  <c r="H18" i="152"/>
  <c r="H19" i="152"/>
  <c r="H20" i="152"/>
  <c r="H21" i="152"/>
  <c r="H22" i="152"/>
  <c r="H23" i="152"/>
  <c r="H24" i="152"/>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O46" i="56" l="1"/>
  <c r="P46" i="56"/>
  <c r="Q45" i="56"/>
  <c r="Q46" i="56"/>
  <c r="P45" i="56"/>
  <c r="O45" i="56"/>
  <c r="M31" i="176"/>
  <c r="E36" i="176" s="1"/>
  <c r="M30" i="176"/>
  <c r="E31" i="176" s="1"/>
  <c r="M28" i="176"/>
  <c r="E26" i="176" s="1"/>
  <c r="M27" i="176"/>
  <c r="E21" i="176" s="1"/>
  <c r="M25" i="176"/>
  <c r="E16" i="176" s="1"/>
  <c r="M24" i="176"/>
  <c r="E11" i="176" s="1"/>
  <c r="D49" i="152"/>
  <c r="D48" i="150"/>
  <c r="D48" i="144"/>
  <c r="D48" i="126"/>
  <c r="D48" i="152"/>
  <c r="D48" i="149"/>
  <c r="D48" i="141"/>
  <c r="C53" i="164"/>
  <c r="T47" i="31"/>
  <c r="T47" i="56"/>
  <c r="AG18" i="164"/>
  <c r="AI18" i="164" s="1"/>
  <c r="AI17" i="164"/>
  <c r="AG15" i="164"/>
  <c r="AI15" i="164" s="1"/>
  <c r="J39" i="152"/>
  <c r="I39" i="152"/>
  <c r="J38" i="152"/>
  <c r="F38" i="152"/>
  <c r="J37" i="152"/>
  <c r="I37" i="152"/>
  <c r="F37" i="152"/>
  <c r="J36" i="152"/>
  <c r="I36" i="152"/>
  <c r="F36" i="152"/>
  <c r="J35" i="152"/>
  <c r="F35" i="152"/>
  <c r="J34" i="152"/>
  <c r="F34" i="152"/>
  <c r="J33" i="152"/>
  <c r="I33" i="152"/>
  <c r="F33" i="152"/>
  <c r="J32" i="152"/>
  <c r="I32" i="152"/>
  <c r="F32" i="152"/>
  <c r="J31" i="152"/>
  <c r="F31" i="152"/>
  <c r="I30" i="152"/>
  <c r="J30" i="152"/>
  <c r="F30" i="152"/>
  <c r="J29" i="152"/>
  <c r="I29" i="152"/>
  <c r="F29" i="152"/>
  <c r="J28" i="152"/>
  <c r="F28" i="152"/>
  <c r="J27" i="152"/>
  <c r="F27" i="152"/>
  <c r="I26" i="152"/>
  <c r="J26" i="152"/>
  <c r="F26" i="152"/>
  <c r="J25" i="152"/>
  <c r="F25" i="152"/>
  <c r="I24" i="152"/>
  <c r="F24" i="152"/>
  <c r="J23" i="152"/>
  <c r="I23" i="152"/>
  <c r="F23" i="152"/>
  <c r="J22" i="152"/>
  <c r="I22" i="152"/>
  <c r="F22" i="152"/>
  <c r="J21" i="152"/>
  <c r="F21" i="152"/>
  <c r="J20" i="152"/>
  <c r="F20" i="152"/>
  <c r="J19" i="152"/>
  <c r="I19" i="152"/>
  <c r="F19" i="152"/>
  <c r="I18" i="152"/>
  <c r="J18" i="152"/>
  <c r="F18" i="152"/>
  <c r="I17" i="152"/>
  <c r="F17" i="152"/>
  <c r="J16" i="152"/>
  <c r="I16" i="152"/>
  <c r="F16" i="152"/>
  <c r="J15" i="152"/>
  <c r="F15" i="152"/>
  <c r="J14" i="152"/>
  <c r="F14" i="152"/>
  <c r="J13" i="152"/>
  <c r="I13" i="152"/>
  <c r="F13" i="152"/>
  <c r="I12" i="152"/>
  <c r="J12" i="152"/>
  <c r="F12" i="152"/>
  <c r="J11" i="152"/>
  <c r="F11" i="152"/>
  <c r="I10" i="152"/>
  <c r="F10" i="152"/>
  <c r="J9" i="152"/>
  <c r="I9" i="152"/>
  <c r="F9" i="152"/>
  <c r="J8" i="152"/>
  <c r="I8" i="152"/>
  <c r="F8" i="152"/>
  <c r="J7" i="152"/>
  <c r="F7" i="152"/>
  <c r="I6" i="152"/>
  <c r="F6" i="152"/>
  <c r="J5" i="152"/>
  <c r="I5" i="152"/>
  <c r="F5" i="152"/>
  <c r="G2" i="152"/>
  <c r="F2" i="152"/>
  <c r="C2" i="152"/>
  <c r="K1" i="152"/>
  <c r="P37" i="150"/>
  <c r="P39" i="150"/>
  <c r="P26" i="150"/>
  <c r="P28" i="150"/>
  <c r="P15" i="150"/>
  <c r="P17" i="150"/>
  <c r="J10" i="152" l="1"/>
  <c r="I11" i="152"/>
  <c r="J17" i="152"/>
  <c r="J24" i="152"/>
  <c r="I25" i="152"/>
  <c r="I31" i="152"/>
  <c r="I38" i="152"/>
  <c r="I14" i="152"/>
  <c r="I34" i="152"/>
  <c r="I20" i="152"/>
  <c r="I27" i="152"/>
  <c r="J6" i="152"/>
  <c r="I7" i="152"/>
  <c r="I21" i="152"/>
  <c r="I28" i="152"/>
  <c r="I35" i="152"/>
  <c r="I15" i="152"/>
  <c r="L5" i="150"/>
  <c r="M5" i="150" s="1"/>
  <c r="L6" i="150"/>
  <c r="L7" i="150"/>
  <c r="M7" i="150" s="1"/>
  <c r="L8" i="150"/>
  <c r="M8" i="150" s="1"/>
  <c r="L9" i="150"/>
  <c r="L10" i="150"/>
  <c r="M10" i="150" s="1"/>
  <c r="L11" i="150"/>
  <c r="M11" i="150" s="1"/>
  <c r="L12" i="150"/>
  <c r="L13" i="150"/>
  <c r="L14" i="150"/>
  <c r="M14" i="150" s="1"/>
  <c r="L15" i="150"/>
  <c r="M15" i="150" s="1"/>
  <c r="L16" i="150"/>
  <c r="L17" i="150"/>
  <c r="M17" i="150" s="1"/>
  <c r="L18" i="150"/>
  <c r="L19" i="150"/>
  <c r="M19" i="150" s="1"/>
  <c r="L20" i="150"/>
  <c r="L21" i="150"/>
  <c r="M21" i="150" s="1"/>
  <c r="L22" i="150"/>
  <c r="M22" i="150" s="1"/>
  <c r="L23" i="150"/>
  <c r="M23" i="150" s="1"/>
  <c r="L24" i="150"/>
  <c r="L25" i="150"/>
  <c r="M25" i="150" s="1"/>
  <c r="L26" i="150"/>
  <c r="M26" i="150" s="1"/>
  <c r="L27" i="150"/>
  <c r="M27" i="150" s="1"/>
  <c r="L28" i="150"/>
  <c r="L29" i="150"/>
  <c r="M29" i="150" s="1"/>
  <c r="L30" i="150"/>
  <c r="L31" i="150"/>
  <c r="N31" i="150" s="1"/>
  <c r="L32" i="150"/>
  <c r="L33" i="150"/>
  <c r="L34" i="150"/>
  <c r="M34" i="150" s="1"/>
  <c r="L35" i="150"/>
  <c r="N35" i="150" s="1"/>
  <c r="L36" i="150"/>
  <c r="M36" i="150" s="1"/>
  <c r="M37" i="150"/>
  <c r="M38"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0"/>
  <c r="H6" i="150"/>
  <c r="I6" i="150" s="1"/>
  <c r="H7" i="150"/>
  <c r="I7" i="150" s="1"/>
  <c r="H8" i="150"/>
  <c r="H9" i="150"/>
  <c r="I9" i="150" s="1"/>
  <c r="H10" i="150"/>
  <c r="I10" i="150" s="1"/>
  <c r="H11" i="150"/>
  <c r="H12" i="150"/>
  <c r="I12" i="150" s="1"/>
  <c r="H13" i="150"/>
  <c r="I13" i="150" s="1"/>
  <c r="H14" i="150"/>
  <c r="H15" i="150"/>
  <c r="I15" i="150" s="1"/>
  <c r="H16" i="150"/>
  <c r="H17" i="150"/>
  <c r="H18" i="150"/>
  <c r="H19" i="150"/>
  <c r="I19" i="150" s="1"/>
  <c r="H20" i="150"/>
  <c r="I20" i="150" s="1"/>
  <c r="H21" i="150"/>
  <c r="H22" i="150"/>
  <c r="H23" i="150"/>
  <c r="I23" i="150" s="1"/>
  <c r="H24" i="150"/>
  <c r="H25" i="150"/>
  <c r="I25" i="150" s="1"/>
  <c r="H26" i="150"/>
  <c r="H27" i="150"/>
  <c r="H28" i="150"/>
  <c r="I28" i="150" s="1"/>
  <c r="H29" i="150"/>
  <c r="I29" i="150" s="1"/>
  <c r="H30" i="150"/>
  <c r="I30" i="150" s="1"/>
  <c r="H31" i="150"/>
  <c r="H32" i="150"/>
  <c r="H33" i="150"/>
  <c r="I33" i="150" s="1"/>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0"/>
  <c r="I40" i="150"/>
  <c r="N39" i="150"/>
  <c r="M39" i="150"/>
  <c r="J39" i="150"/>
  <c r="I39" i="150"/>
  <c r="N38" i="150"/>
  <c r="I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I5" i="150"/>
  <c r="F5" i="150"/>
  <c r="G2" i="150"/>
  <c r="F2" i="150"/>
  <c r="C2" i="150"/>
  <c r="K1" i="150"/>
  <c r="P37" i="149"/>
  <c r="P39" i="149"/>
  <c r="H5" i="149"/>
  <c r="H6" i="149"/>
  <c r="H7" i="149"/>
  <c r="I7" i="149" s="1"/>
  <c r="H8" i="149"/>
  <c r="H9" i="149"/>
  <c r="I9" i="149" s="1"/>
  <c r="H10" i="149"/>
  <c r="I10" i="149" s="1"/>
  <c r="H11" i="149"/>
  <c r="H12" i="149"/>
  <c r="I12" i="149" s="1"/>
  <c r="H13" i="149"/>
  <c r="I13" i="149" s="1"/>
  <c r="H14" i="149"/>
  <c r="H15" i="149"/>
  <c r="I15" i="149" s="1"/>
  <c r="H16" i="149"/>
  <c r="I16" i="149" s="1"/>
  <c r="H17" i="149"/>
  <c r="H18" i="149"/>
  <c r="H19" i="149"/>
  <c r="I19" i="149" s="1"/>
  <c r="H20" i="149"/>
  <c r="I20" i="149" s="1"/>
  <c r="H21" i="149"/>
  <c r="H22" i="149"/>
  <c r="I22" i="149" s="1"/>
  <c r="H23" i="149"/>
  <c r="I23" i="149" s="1"/>
  <c r="H24" i="149"/>
  <c r="H25" i="149"/>
  <c r="I25" i="149" s="1"/>
  <c r="H26" i="149"/>
  <c r="H27" i="149"/>
  <c r="H28" i="149"/>
  <c r="H29" i="149"/>
  <c r="I29" i="149" s="1"/>
  <c r="H30" i="149"/>
  <c r="I30" i="149" s="1"/>
  <c r="H31" i="149"/>
  <c r="H32" i="149"/>
  <c r="I32" i="149" s="1"/>
  <c r="H33" i="149"/>
  <c r="H34" i="149"/>
  <c r="J34" i="149" s="1"/>
  <c r="H35" i="149"/>
  <c r="I35" i="149" s="1"/>
  <c r="H36" i="149"/>
  <c r="J36" i="149" s="1"/>
  <c r="I37" i="149"/>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N40" i="149"/>
  <c r="M40" i="149"/>
  <c r="N39" i="149"/>
  <c r="M39" i="149"/>
  <c r="J39" i="149"/>
  <c r="I39" i="149"/>
  <c r="N38" i="149"/>
  <c r="M38" i="149"/>
  <c r="I38" i="149"/>
  <c r="F38" i="149"/>
  <c r="N37" i="149"/>
  <c r="M37" i="149"/>
  <c r="F37" i="149"/>
  <c r="N36" i="149"/>
  <c r="M36" i="149"/>
  <c r="F36" i="149"/>
  <c r="N35" i="149"/>
  <c r="M35" i="149"/>
  <c r="F35" i="149"/>
  <c r="N34" i="149"/>
  <c r="M34" i="149"/>
  <c r="F34" i="149"/>
  <c r="N33" i="149"/>
  <c r="M33" i="149"/>
  <c r="F33" i="149"/>
  <c r="N32" i="149"/>
  <c r="M32" i="149"/>
  <c r="F32" i="149"/>
  <c r="N31" i="149"/>
  <c r="M31" i="149"/>
  <c r="F31" i="149"/>
  <c r="N30" i="149"/>
  <c r="M30" i="149"/>
  <c r="F30" i="149"/>
  <c r="N29" i="149"/>
  <c r="M29" i="149"/>
  <c r="F29" i="149"/>
  <c r="P28" i="149"/>
  <c r="N28" i="149"/>
  <c r="M28" i="149"/>
  <c r="F28" i="149"/>
  <c r="N27" i="149"/>
  <c r="M27" i="149"/>
  <c r="F27" i="149"/>
  <c r="P26" i="149"/>
  <c r="N26" i="149"/>
  <c r="M26" i="149"/>
  <c r="F26" i="149"/>
  <c r="N25" i="149"/>
  <c r="M25" i="149"/>
  <c r="F25" i="149"/>
  <c r="N24" i="149"/>
  <c r="M24" i="149"/>
  <c r="F24" i="149"/>
  <c r="N23" i="149"/>
  <c r="M23" i="149"/>
  <c r="F23" i="149"/>
  <c r="N22" i="149"/>
  <c r="M22" i="149"/>
  <c r="F22" i="149"/>
  <c r="N21" i="149"/>
  <c r="M21" i="149"/>
  <c r="F21" i="149"/>
  <c r="N20" i="149"/>
  <c r="M20" i="149"/>
  <c r="F20" i="149"/>
  <c r="N19" i="149"/>
  <c r="M19" i="149"/>
  <c r="F19" i="149"/>
  <c r="N18" i="149"/>
  <c r="M18" i="149"/>
  <c r="F18" i="149"/>
  <c r="P17" i="149"/>
  <c r="N17" i="149"/>
  <c r="M17" i="149"/>
  <c r="F17" i="149"/>
  <c r="N16" i="149"/>
  <c r="M16" i="149"/>
  <c r="F16" i="149"/>
  <c r="P15" i="149"/>
  <c r="N15" i="149"/>
  <c r="M15" i="149"/>
  <c r="F15" i="149"/>
  <c r="N14" i="149"/>
  <c r="M14" i="149"/>
  <c r="F14" i="149"/>
  <c r="N13" i="149"/>
  <c r="M13" i="149"/>
  <c r="F13" i="149"/>
  <c r="N12" i="149"/>
  <c r="M12" i="149"/>
  <c r="F12" i="149"/>
  <c r="N11" i="149"/>
  <c r="M11" i="149"/>
  <c r="F11" i="149"/>
  <c r="N10" i="149"/>
  <c r="M10" i="149"/>
  <c r="F10" i="149"/>
  <c r="N9" i="149"/>
  <c r="M9" i="149"/>
  <c r="F9" i="149"/>
  <c r="N8" i="149"/>
  <c r="M8" i="149"/>
  <c r="F8" i="149"/>
  <c r="N7" i="149"/>
  <c r="M7" i="149"/>
  <c r="F7" i="149"/>
  <c r="N6" i="149"/>
  <c r="M6" i="149"/>
  <c r="F6" i="149"/>
  <c r="N5" i="149"/>
  <c r="M5" i="149"/>
  <c r="F5" i="149"/>
  <c r="G2" i="149"/>
  <c r="K1" i="149"/>
  <c r="P37" i="144"/>
  <c r="P39" i="144"/>
  <c r="P26" i="144"/>
  <c r="P28" i="144"/>
  <c r="P15" i="144"/>
  <c r="P17" i="144"/>
  <c r="H5" i="144"/>
  <c r="H6" i="144"/>
  <c r="H7" i="144"/>
  <c r="H8" i="144"/>
  <c r="H9" i="144"/>
  <c r="H10" i="144"/>
  <c r="H11" i="144"/>
  <c r="H12" i="144"/>
  <c r="H13" i="144"/>
  <c r="H14" i="144"/>
  <c r="H15" i="144"/>
  <c r="H16" i="144"/>
  <c r="H17" i="144"/>
  <c r="H18" i="144"/>
  <c r="H19" i="144"/>
  <c r="H20" i="144"/>
  <c r="H21" i="144"/>
  <c r="H22" i="144"/>
  <c r="H23" i="144"/>
  <c r="H24" i="144"/>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J35" i="149" l="1"/>
  <c r="N17" i="150"/>
  <c r="N34" i="150"/>
  <c r="J32" i="150"/>
  <c r="D49" i="144"/>
  <c r="D49" i="150"/>
  <c r="I5" i="149"/>
  <c r="D49" i="149"/>
  <c r="J33" i="150"/>
  <c r="J17" i="150"/>
  <c r="J9" i="150"/>
  <c r="J30" i="149"/>
  <c r="J27" i="149"/>
  <c r="J28" i="149"/>
  <c r="J33" i="149"/>
  <c r="J31" i="149"/>
  <c r="J30" i="150"/>
  <c r="N30" i="150"/>
  <c r="J31" i="150"/>
  <c r="N33" i="150"/>
  <c r="N32" i="150"/>
  <c r="M31" i="150"/>
  <c r="N36" i="150"/>
  <c r="N13" i="150"/>
  <c r="N18" i="150"/>
  <c r="N10" i="150"/>
  <c r="N21" i="150"/>
  <c r="N5" i="150"/>
  <c r="M13" i="150"/>
  <c r="N27" i="150"/>
  <c r="M35" i="150"/>
  <c r="N19" i="150"/>
  <c r="N15" i="150"/>
  <c r="N11" i="150"/>
  <c r="N7" i="150"/>
  <c r="J15" i="150"/>
  <c r="N26" i="150"/>
  <c r="N28" i="150"/>
  <c r="N24" i="150"/>
  <c r="N16" i="150"/>
  <c r="J27" i="150"/>
  <c r="J23" i="149"/>
  <c r="J15" i="149"/>
  <c r="J7" i="149"/>
  <c r="N9" i="150"/>
  <c r="J29" i="150"/>
  <c r="N29" i="150"/>
  <c r="M18" i="150"/>
  <c r="J23" i="150"/>
  <c r="J7" i="150"/>
  <c r="J24" i="149"/>
  <c r="J5" i="149"/>
  <c r="I33" i="149"/>
  <c r="I28" i="149"/>
  <c r="J32" i="149"/>
  <c r="J25" i="149"/>
  <c r="M9" i="150"/>
  <c r="M33" i="150"/>
  <c r="M16" i="150"/>
  <c r="M30" i="150"/>
  <c r="M32" i="150"/>
  <c r="I34" i="150"/>
  <c r="J5" i="150"/>
  <c r="I37" i="150"/>
  <c r="J6" i="149"/>
  <c r="N25" i="150"/>
  <c r="N6" i="150"/>
  <c r="J22" i="150"/>
  <c r="J14" i="150"/>
  <c r="J13" i="150"/>
  <c r="J11" i="149"/>
  <c r="J11" i="150"/>
  <c r="J18" i="149"/>
  <c r="J26" i="150"/>
  <c r="J18" i="150"/>
  <c r="J24" i="150"/>
  <c r="J16" i="150"/>
  <c r="J19" i="149"/>
  <c r="N23" i="150"/>
  <c r="N8" i="150"/>
  <c r="I14" i="150"/>
  <c r="M24" i="150"/>
  <c r="M6" i="150"/>
  <c r="N14" i="150"/>
  <c r="N22" i="150"/>
  <c r="J10" i="150"/>
  <c r="J26" i="149"/>
  <c r="J10" i="149"/>
  <c r="J16" i="149"/>
  <c r="J8" i="149"/>
  <c r="J22" i="149"/>
  <c r="J14" i="149"/>
  <c r="J6" i="150"/>
  <c r="I16" i="150"/>
  <c r="I24" i="150"/>
  <c r="J8" i="150"/>
  <c r="N20" i="150"/>
  <c r="N12" i="150"/>
  <c r="J21" i="149"/>
  <c r="M12" i="150"/>
  <c r="M28" i="150"/>
  <c r="M20" i="150"/>
  <c r="J28" i="150"/>
  <c r="J19" i="150"/>
  <c r="J25" i="150"/>
  <c r="I35" i="150"/>
  <c r="J20" i="150"/>
  <c r="J21" i="150"/>
  <c r="I32" i="150"/>
  <c r="I22" i="150"/>
  <c r="I11" i="150"/>
  <c r="J12" i="150"/>
  <c r="I21" i="150"/>
  <c r="I31" i="150"/>
  <c r="I8" i="150"/>
  <c r="I17" i="150"/>
  <c r="I18" i="150"/>
  <c r="I26" i="150"/>
  <c r="I27" i="150"/>
  <c r="I36" i="150"/>
  <c r="J9" i="149"/>
  <c r="J37" i="149"/>
  <c r="J29" i="149"/>
  <c r="J13" i="149"/>
  <c r="J20" i="149"/>
  <c r="J17" i="149"/>
  <c r="J12" i="149"/>
  <c r="I11" i="149"/>
  <c r="I21" i="149"/>
  <c r="I31" i="149"/>
  <c r="I8" i="149"/>
  <c r="I17" i="149"/>
  <c r="I18" i="149"/>
  <c r="I26" i="149"/>
  <c r="I27" i="149"/>
  <c r="I36" i="149"/>
  <c r="I6" i="149"/>
  <c r="I14" i="149"/>
  <c r="I24" i="149"/>
  <c r="I34" i="149"/>
  <c r="H5" i="141"/>
  <c r="H6" i="141"/>
  <c r="H7" i="141"/>
  <c r="H8" i="141"/>
  <c r="H9" i="141"/>
  <c r="H10" i="141"/>
  <c r="H11" i="141"/>
  <c r="H12" i="141"/>
  <c r="H13" i="141"/>
  <c r="H14" i="141"/>
  <c r="H15" i="141"/>
  <c r="H16" i="141"/>
  <c r="H17" i="141"/>
  <c r="H18" i="141"/>
  <c r="H19" i="141"/>
  <c r="H20" i="141"/>
  <c r="H21" i="141"/>
  <c r="H22" i="141"/>
  <c r="H23" i="141"/>
  <c r="H24" i="14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G2" i="126"/>
  <c r="F2" i="126"/>
  <c r="C2" i="126"/>
  <c r="N40" i="144"/>
  <c r="M40" i="144"/>
  <c r="N39" i="144"/>
  <c r="M39" i="144"/>
  <c r="J39" i="144"/>
  <c r="I39" i="144"/>
  <c r="N38" i="144"/>
  <c r="M38" i="144"/>
  <c r="J38" i="144"/>
  <c r="F38" i="144"/>
  <c r="N37" i="144"/>
  <c r="M37" i="144"/>
  <c r="J37" i="144"/>
  <c r="F37" i="144"/>
  <c r="N36" i="144"/>
  <c r="M36" i="144"/>
  <c r="J36" i="144"/>
  <c r="I36" i="144"/>
  <c r="F36" i="144"/>
  <c r="N35" i="144"/>
  <c r="M35" i="144"/>
  <c r="J35" i="144"/>
  <c r="I35" i="144"/>
  <c r="F35" i="144"/>
  <c r="N34" i="144"/>
  <c r="M34" i="144"/>
  <c r="J34" i="144"/>
  <c r="I34" i="144"/>
  <c r="F34" i="144"/>
  <c r="N33" i="144"/>
  <c r="M33" i="144"/>
  <c r="J33" i="144"/>
  <c r="I33" i="144"/>
  <c r="F33" i="144"/>
  <c r="N32" i="144"/>
  <c r="M32" i="144"/>
  <c r="J32" i="144"/>
  <c r="F32" i="144"/>
  <c r="N31" i="144"/>
  <c r="M31" i="144"/>
  <c r="J31" i="144"/>
  <c r="F31" i="144"/>
  <c r="N30" i="144"/>
  <c r="M30" i="144"/>
  <c r="J30" i="144"/>
  <c r="I30" i="144"/>
  <c r="F30" i="144"/>
  <c r="N29" i="144"/>
  <c r="M29" i="144"/>
  <c r="J29" i="144"/>
  <c r="F29" i="144"/>
  <c r="N28" i="144"/>
  <c r="M28" i="144"/>
  <c r="J28" i="144"/>
  <c r="F28" i="144"/>
  <c r="N27" i="144"/>
  <c r="M27" i="144"/>
  <c r="J27" i="144"/>
  <c r="I27" i="144"/>
  <c r="F27" i="144"/>
  <c r="N26" i="144"/>
  <c r="M26" i="144"/>
  <c r="J26" i="144"/>
  <c r="I26" i="144"/>
  <c r="F26" i="144"/>
  <c r="N25" i="144"/>
  <c r="M25" i="144"/>
  <c r="I25" i="144"/>
  <c r="J25" i="144"/>
  <c r="F25" i="144"/>
  <c r="N24" i="144"/>
  <c r="M24" i="144"/>
  <c r="J24" i="144"/>
  <c r="I24" i="144"/>
  <c r="F24" i="144"/>
  <c r="N23" i="144"/>
  <c r="M23" i="144"/>
  <c r="I23" i="144"/>
  <c r="J23" i="144"/>
  <c r="F23" i="144"/>
  <c r="N22" i="144"/>
  <c r="M22" i="144"/>
  <c r="J22" i="144"/>
  <c r="F22" i="144"/>
  <c r="N21" i="144"/>
  <c r="M21" i="144"/>
  <c r="J21" i="144"/>
  <c r="F21" i="144"/>
  <c r="N20" i="144"/>
  <c r="M20" i="144"/>
  <c r="I20" i="144"/>
  <c r="J20" i="144"/>
  <c r="F20" i="144"/>
  <c r="N19" i="144"/>
  <c r="M19" i="144"/>
  <c r="J19" i="144"/>
  <c r="F19" i="144"/>
  <c r="N18" i="144"/>
  <c r="M18" i="144"/>
  <c r="J18" i="144"/>
  <c r="I18" i="144"/>
  <c r="F18" i="144"/>
  <c r="N17" i="144"/>
  <c r="M17" i="144"/>
  <c r="J17" i="144"/>
  <c r="I17" i="144"/>
  <c r="F17" i="144"/>
  <c r="N16" i="144"/>
  <c r="M16" i="144"/>
  <c r="I16" i="144"/>
  <c r="J16" i="144"/>
  <c r="F16" i="144"/>
  <c r="N15" i="144"/>
  <c r="M15" i="144"/>
  <c r="I15" i="144"/>
  <c r="J15" i="144"/>
  <c r="F15" i="144"/>
  <c r="N14" i="144"/>
  <c r="M14" i="144"/>
  <c r="J14" i="144"/>
  <c r="I14" i="144"/>
  <c r="F14" i="144"/>
  <c r="N13" i="144"/>
  <c r="M13" i="144"/>
  <c r="I13" i="144"/>
  <c r="J13" i="144"/>
  <c r="F13" i="144"/>
  <c r="N12" i="144"/>
  <c r="M12" i="144"/>
  <c r="J12" i="144"/>
  <c r="F12" i="144"/>
  <c r="N11" i="144"/>
  <c r="M11" i="144"/>
  <c r="J11" i="144"/>
  <c r="F11" i="144"/>
  <c r="N10" i="144"/>
  <c r="M10" i="144"/>
  <c r="I10" i="144"/>
  <c r="J10" i="144"/>
  <c r="F10" i="144"/>
  <c r="N9" i="144"/>
  <c r="M9" i="144"/>
  <c r="J9" i="144"/>
  <c r="F9" i="144"/>
  <c r="N8" i="144"/>
  <c r="M8" i="144"/>
  <c r="J8" i="144"/>
  <c r="I8" i="144"/>
  <c r="F8" i="144"/>
  <c r="N7" i="144"/>
  <c r="M7" i="144"/>
  <c r="I7" i="144"/>
  <c r="J7" i="144"/>
  <c r="F7" i="144"/>
  <c r="N6" i="144"/>
  <c r="M6" i="144"/>
  <c r="J6" i="144"/>
  <c r="I6" i="144"/>
  <c r="F6" i="144"/>
  <c r="N5" i="144"/>
  <c r="M5" i="144"/>
  <c r="I5" i="144"/>
  <c r="J5" i="144"/>
  <c r="F5" i="144"/>
  <c r="K1"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H48" i="150" l="1"/>
  <c r="G48" i="150" s="1"/>
  <c r="H49" i="150"/>
  <c r="G49" i="150" s="1"/>
  <c r="H55" i="150"/>
  <c r="H57" i="150"/>
  <c r="G57" i="150" s="1"/>
  <c r="H50" i="150"/>
  <c r="H54" i="150"/>
  <c r="G54" i="150" s="1"/>
  <c r="H51" i="150"/>
  <c r="G51" i="150" s="1"/>
  <c r="D49" i="141"/>
  <c r="H52" i="150"/>
  <c r="G52" i="150" s="1"/>
  <c r="H53" i="150"/>
  <c r="G53" i="150" s="1"/>
  <c r="I55" i="150"/>
  <c r="I50" i="150"/>
  <c r="I12" i="144"/>
  <c r="I32" i="144"/>
  <c r="I22" i="144"/>
  <c r="I11" i="144"/>
  <c r="I21" i="144"/>
  <c r="I31" i="144"/>
  <c r="I19" i="144"/>
  <c r="I28" i="144"/>
  <c r="I29" i="144"/>
  <c r="I37" i="144"/>
  <c r="I38" i="144"/>
  <c r="I9" i="144"/>
  <c r="G50" i="150" l="1"/>
  <c r="G55" i="150"/>
  <c r="H58" i="150"/>
  <c r="I58" i="150"/>
  <c r="G58" i="150" l="1"/>
  <c r="H59" i="150"/>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I39" i="141" l="1"/>
  <c r="I38" i="141"/>
  <c r="F38" i="141"/>
  <c r="I37" i="141"/>
  <c r="F37" i="141"/>
  <c r="I36" i="141"/>
  <c r="F36" i="141"/>
  <c r="I35" i="141"/>
  <c r="F35" i="141"/>
  <c r="I34" i="141"/>
  <c r="F34" i="141"/>
  <c r="I33" i="141"/>
  <c r="F33" i="141"/>
  <c r="I32" i="141"/>
  <c r="F32" i="141"/>
  <c r="I31" i="141"/>
  <c r="F31" i="141"/>
  <c r="I30" i="141"/>
  <c r="F30" i="141"/>
  <c r="I29" i="141"/>
  <c r="F29" i="141"/>
  <c r="I28" i="141"/>
  <c r="F28" i="141"/>
  <c r="I27" i="141"/>
  <c r="F27" i="141"/>
  <c r="I26" i="141"/>
  <c r="F26" i="141"/>
  <c r="I25" i="141"/>
  <c r="F25" i="141"/>
  <c r="I24" i="141"/>
  <c r="F24" i="141"/>
  <c r="I23" i="141"/>
  <c r="F23" i="141"/>
  <c r="I22" i="141"/>
  <c r="F22" i="141"/>
  <c r="I21" i="141"/>
  <c r="F21" i="141"/>
  <c r="I20" i="141"/>
  <c r="F20" i="141"/>
  <c r="I19" i="141"/>
  <c r="F19" i="141"/>
  <c r="I18" i="141"/>
  <c r="F18" i="141"/>
  <c r="I17" i="141"/>
  <c r="F17" i="141"/>
  <c r="I16" i="141"/>
  <c r="F16" i="141"/>
  <c r="I15" i="141"/>
  <c r="F15" i="141"/>
  <c r="I14" i="141"/>
  <c r="F14" i="141"/>
  <c r="I13" i="141"/>
  <c r="F13" i="141"/>
  <c r="I12" i="141"/>
  <c r="F12" i="141"/>
  <c r="I11" i="141"/>
  <c r="F11" i="141"/>
  <c r="I10" i="141"/>
  <c r="F10" i="141"/>
  <c r="I9" i="141"/>
  <c r="F9" i="141"/>
  <c r="I8" i="141"/>
  <c r="F8" i="141"/>
  <c r="I7" i="141"/>
  <c r="F7" i="141"/>
  <c r="I6" i="141"/>
  <c r="F6" i="141"/>
  <c r="I5" i="141"/>
  <c r="F5" i="141"/>
  <c r="K1" i="141"/>
  <c r="P37" i="126" l="1"/>
  <c r="P39" i="126"/>
  <c r="P26" i="126"/>
  <c r="P28" i="126"/>
  <c r="P15" i="126"/>
  <c r="P17" i="126"/>
  <c r="K1" i="126"/>
  <c r="H5" i="126"/>
  <c r="B38" i="136" l="1"/>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AC13" i="134" l="1"/>
  <c r="AD13" i="134"/>
  <c r="W13" i="123"/>
  <c r="X13" i="123"/>
  <c r="Y13" i="123"/>
  <c r="AB13" i="134" l="1"/>
  <c r="AB14" i="134" s="1"/>
  <c r="AM9" i="128"/>
  <c r="AL9" i="128"/>
  <c r="AJ9" i="128"/>
  <c r="AI9" i="128"/>
  <c r="AF9" i="128"/>
  <c r="AC9" i="128"/>
  <c r="AA9" i="128"/>
  <c r="Z9" i="128"/>
  <c r="AM8" i="128"/>
  <c r="AL8" i="128"/>
  <c r="AK8" i="128"/>
  <c r="AJ8" i="128"/>
  <c r="AI8" i="128"/>
  <c r="AH8" i="128"/>
  <c r="AF8" i="128"/>
  <c r="AE8" i="128"/>
  <c r="AC8" i="128"/>
  <c r="AB8" i="128"/>
  <c r="AA8" i="128"/>
  <c r="Z8" i="128"/>
  <c r="AA13" i="123" l="1"/>
  <c r="F5" i="126"/>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H7" i="126"/>
  <c r="I7" i="126" s="1"/>
  <c r="H8" i="126"/>
  <c r="H9" i="126"/>
  <c r="H10" i="126"/>
  <c r="H11" i="126"/>
  <c r="I11" i="126" s="1"/>
  <c r="H12" i="126"/>
  <c r="H13" i="126"/>
  <c r="H14" i="126"/>
  <c r="H15" i="126"/>
  <c r="H16" i="126"/>
  <c r="I16" i="126" s="1"/>
  <c r="H17" i="126"/>
  <c r="I17" i="126" s="1"/>
  <c r="H18" i="126"/>
  <c r="H19" i="126"/>
  <c r="I19" i="126" s="1"/>
  <c r="H20" i="126"/>
  <c r="H21" i="126"/>
  <c r="H22" i="126"/>
  <c r="H23" i="126"/>
  <c r="I23" i="126" s="1"/>
  <c r="H24" i="126"/>
  <c r="H25" i="126"/>
  <c r="H26" i="126"/>
  <c r="I26" i="126" s="1"/>
  <c r="H27" i="126"/>
  <c r="H28" i="126"/>
  <c r="H29" i="126"/>
  <c r="H30" i="126"/>
  <c r="H31" i="126"/>
  <c r="H32" i="126"/>
  <c r="H33" i="126"/>
  <c r="H34" i="126"/>
  <c r="I34" i="126" s="1"/>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I39" i="126"/>
  <c r="I9" i="126"/>
  <c r="I24" i="126"/>
  <c r="I31" i="126"/>
  <c r="I32" i="126"/>
  <c r="I8" i="126"/>
  <c r="I15" i="126"/>
  <c r="I33" i="126"/>
  <c r="I22" i="126"/>
  <c r="I29" i="126"/>
  <c r="I38" i="126"/>
  <c r="I12" i="126"/>
  <c r="I30" i="126"/>
  <c r="I27" i="126"/>
  <c r="I6" i="126"/>
  <c r="I10" i="126"/>
  <c r="I14" i="126"/>
  <c r="I18" i="126"/>
  <c r="I5" i="126"/>
  <c r="I37" i="126"/>
  <c r="I13" i="126"/>
  <c r="I20" i="126"/>
  <c r="I28" i="126"/>
  <c r="I35" i="126"/>
  <c r="I21" i="126"/>
  <c r="I25" i="126"/>
  <c r="I36" i="126"/>
  <c r="B2" i="125" l="1"/>
  <c r="V13" i="123" l="1"/>
  <c r="S13" i="123"/>
  <c r="P13" i="123"/>
  <c r="M13" i="123"/>
  <c r="U13" i="123"/>
  <c r="R13" i="123"/>
  <c r="O13" i="123"/>
  <c r="L13" i="123"/>
  <c r="T13" i="123"/>
  <c r="Q13" i="123"/>
  <c r="N13" i="123"/>
  <c r="K13"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AC13" i="123" l="1"/>
  <c r="AB13" i="123"/>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J44" i="56" l="1"/>
  <c r="L44" i="56" s="1"/>
  <c r="M44" i="56" s="1"/>
  <c r="J43" i="56"/>
  <c r="L43" i="56" s="1"/>
  <c r="M43" i="56" s="1"/>
  <c r="J41" i="56"/>
  <c r="L41" i="56" s="1"/>
  <c r="M41" i="56" s="1"/>
  <c r="J40" i="56"/>
  <c r="L40" i="56" s="1"/>
  <c r="M40" i="56" s="1"/>
  <c r="J39" i="56"/>
  <c r="L39" i="56" s="1"/>
  <c r="M39" i="56" s="1"/>
  <c r="C39" i="56"/>
  <c r="I39" i="56" s="1"/>
  <c r="J38" i="56"/>
  <c r="L38" i="56" s="1"/>
  <c r="M38" i="56" s="1"/>
  <c r="C38" i="56"/>
  <c r="I38" i="56" s="1"/>
  <c r="J37" i="56"/>
  <c r="L37" i="56" s="1"/>
  <c r="M37" i="56" s="1"/>
  <c r="C37" i="56"/>
  <c r="I37" i="56" s="1"/>
  <c r="J36" i="56"/>
  <c r="L36" i="56" s="1"/>
  <c r="M36" i="56" s="1"/>
  <c r="C36" i="56"/>
  <c r="I36" i="56" s="1"/>
  <c r="J35" i="56"/>
  <c r="L35" i="56" s="1"/>
  <c r="M35" i="56" s="1"/>
  <c r="C35" i="56"/>
  <c r="I35" i="56" s="1"/>
  <c r="J34" i="56"/>
  <c r="L34" i="56" s="1"/>
  <c r="M34" i="56" s="1"/>
  <c r="C34" i="56"/>
  <c r="I34" i="56" s="1"/>
  <c r="J33" i="56"/>
  <c r="L33" i="56" s="1"/>
  <c r="M33" i="56" s="1"/>
  <c r="C33" i="56"/>
  <c r="I33" i="56" s="1"/>
  <c r="J32" i="56"/>
  <c r="L32" i="56" s="1"/>
  <c r="M32" i="56" s="1"/>
  <c r="C32" i="56"/>
  <c r="I32" i="56" s="1"/>
  <c r="J31" i="56"/>
  <c r="L31" i="56" s="1"/>
  <c r="M31" i="56" s="1"/>
  <c r="C31" i="56"/>
  <c r="I31" i="56" s="1"/>
  <c r="J30" i="56"/>
  <c r="L30" i="56" s="1"/>
  <c r="M30" i="56" s="1"/>
  <c r="C30" i="56"/>
  <c r="I30" i="56" s="1"/>
  <c r="J29" i="56"/>
  <c r="L29" i="56" s="1"/>
  <c r="M29" i="56" s="1"/>
  <c r="C29" i="56"/>
  <c r="I29" i="56" s="1"/>
  <c r="J28" i="56"/>
  <c r="L28" i="56" s="1"/>
  <c r="M28" i="56" s="1"/>
  <c r="C28" i="56"/>
  <c r="I28" i="56" s="1"/>
  <c r="J27" i="56"/>
  <c r="L27" i="56" s="1"/>
  <c r="M27" i="56" s="1"/>
  <c r="C27" i="56"/>
  <c r="I27" i="56" s="1"/>
  <c r="J26" i="56"/>
  <c r="L26" i="56" s="1"/>
  <c r="M26" i="56" s="1"/>
  <c r="C26" i="56"/>
  <c r="I26" i="56" s="1"/>
  <c r="J25" i="56"/>
  <c r="L25" i="56" s="1"/>
  <c r="M25" i="56" s="1"/>
  <c r="C25" i="56"/>
  <c r="I25" i="56" s="1"/>
  <c r="J24" i="56"/>
  <c r="L24" i="56" s="1"/>
  <c r="M24" i="56" s="1"/>
  <c r="C24" i="56"/>
  <c r="I24" i="56" s="1"/>
  <c r="J23" i="56"/>
  <c r="L23" i="56" s="1"/>
  <c r="M23" i="56" s="1"/>
  <c r="C23" i="56"/>
  <c r="I23" i="56" s="1"/>
  <c r="J22" i="56"/>
  <c r="L22" i="56" s="1"/>
  <c r="M22" i="56" s="1"/>
  <c r="C22" i="56"/>
  <c r="I22" i="56" s="1"/>
  <c r="J21" i="56"/>
  <c r="L21" i="56" s="1"/>
  <c r="M21" i="56" s="1"/>
  <c r="C21" i="56"/>
  <c r="I21" i="56" s="1"/>
  <c r="J20" i="56"/>
  <c r="L20" i="56" s="1"/>
  <c r="M20" i="56" s="1"/>
  <c r="C20" i="56"/>
  <c r="I20" i="56" s="1"/>
  <c r="J19" i="56"/>
  <c r="L19" i="56" s="1"/>
  <c r="M19" i="56" s="1"/>
  <c r="C19" i="56"/>
  <c r="I19" i="56" s="1"/>
  <c r="J18" i="56"/>
  <c r="L18" i="56" s="1"/>
  <c r="M18" i="56" s="1"/>
  <c r="C18" i="56"/>
  <c r="I18" i="56" s="1"/>
  <c r="J17" i="56"/>
  <c r="L17" i="56" s="1"/>
  <c r="M17" i="56" s="1"/>
  <c r="C17" i="56"/>
  <c r="I17" i="56" s="1"/>
  <c r="J16" i="56"/>
  <c r="L16" i="56" s="1"/>
  <c r="M16" i="56" s="1"/>
  <c r="C16" i="56"/>
  <c r="I16" i="56" s="1"/>
  <c r="J15" i="56"/>
  <c r="L15" i="56" s="1"/>
  <c r="M15" i="56" s="1"/>
  <c r="C15" i="56"/>
  <c r="I15" i="56" s="1"/>
  <c r="J14" i="56"/>
  <c r="L14" i="56" s="1"/>
  <c r="M14" i="56" s="1"/>
  <c r="C14" i="56"/>
  <c r="I14" i="56" s="1"/>
  <c r="J13" i="56"/>
  <c r="L13" i="56" s="1"/>
  <c r="M13" i="56" s="1"/>
  <c r="C13" i="56"/>
  <c r="I13" i="56" s="1"/>
  <c r="J12" i="56"/>
  <c r="L12" i="56" s="1"/>
  <c r="M12" i="56" s="1"/>
  <c r="C12" i="56"/>
  <c r="I12" i="56" s="1"/>
  <c r="J11" i="56"/>
  <c r="L11" i="56" s="1"/>
  <c r="M11" i="56" s="1"/>
  <c r="C11" i="56"/>
  <c r="I11" i="56" s="1"/>
  <c r="J10" i="56"/>
  <c r="L10" i="56" s="1"/>
  <c r="M10" i="56" s="1"/>
  <c r="C10" i="56"/>
  <c r="I10" i="56" s="1"/>
  <c r="J9" i="56"/>
  <c r="C9" i="56"/>
  <c r="I9" i="56" s="1"/>
  <c r="D2" i="56"/>
  <c r="J32" i="31"/>
  <c r="L32" i="31" s="1"/>
  <c r="M32" i="31" s="1"/>
  <c r="I32" i="31"/>
  <c r="J33" i="31"/>
  <c r="L33" i="31" s="1"/>
  <c r="M33" i="31" s="1"/>
  <c r="I33" i="31"/>
  <c r="J44" i="55"/>
  <c r="L44" i="55" s="1"/>
  <c r="M44" i="55" s="1"/>
  <c r="I44" i="55"/>
  <c r="J43" i="55"/>
  <c r="L43" i="55" s="1"/>
  <c r="M43" i="55" s="1"/>
  <c r="I43" i="55"/>
  <c r="J41" i="55"/>
  <c r="L41" i="55" s="1"/>
  <c r="M41" i="55" s="1"/>
  <c r="I41" i="55"/>
  <c r="C41" i="55"/>
  <c r="J40" i="55"/>
  <c r="L40" i="55" s="1"/>
  <c r="M40" i="55" s="1"/>
  <c r="I40" i="55"/>
  <c r="C40" i="55"/>
  <c r="J39" i="55"/>
  <c r="L39" i="55" s="1"/>
  <c r="M39" i="55" s="1"/>
  <c r="I39" i="55"/>
  <c r="C39" i="55"/>
  <c r="J38" i="55"/>
  <c r="L38" i="55" s="1"/>
  <c r="M38" i="55" s="1"/>
  <c r="I38" i="55"/>
  <c r="C38" i="55"/>
  <c r="J37" i="55"/>
  <c r="L37" i="55" s="1"/>
  <c r="M37" i="55" s="1"/>
  <c r="I37" i="55"/>
  <c r="C37" i="55"/>
  <c r="J36" i="55"/>
  <c r="L36" i="55" s="1"/>
  <c r="M36" i="55" s="1"/>
  <c r="I36" i="55"/>
  <c r="C36" i="55"/>
  <c r="J35" i="55"/>
  <c r="L35" i="55" s="1"/>
  <c r="M35" i="55" s="1"/>
  <c r="I35" i="55"/>
  <c r="C35" i="55"/>
  <c r="J34" i="55"/>
  <c r="L34" i="55" s="1"/>
  <c r="M34" i="55" s="1"/>
  <c r="I34" i="55"/>
  <c r="C34" i="55"/>
  <c r="J33" i="55"/>
  <c r="L33" i="55" s="1"/>
  <c r="M33" i="55" s="1"/>
  <c r="I33" i="55"/>
  <c r="C33" i="55"/>
  <c r="J32" i="55"/>
  <c r="L32" i="55" s="1"/>
  <c r="M32" i="55" s="1"/>
  <c r="I32" i="55"/>
  <c r="C32" i="55"/>
  <c r="J31" i="55"/>
  <c r="L31" i="55" s="1"/>
  <c r="M31" i="55" s="1"/>
  <c r="I31" i="55"/>
  <c r="C31" i="55"/>
  <c r="J30" i="55"/>
  <c r="L30" i="55" s="1"/>
  <c r="M30" i="55" s="1"/>
  <c r="I30" i="55"/>
  <c r="C30" i="55"/>
  <c r="J29" i="55"/>
  <c r="L29" i="55" s="1"/>
  <c r="M29" i="55" s="1"/>
  <c r="I29" i="55"/>
  <c r="C29" i="55"/>
  <c r="J28" i="55"/>
  <c r="L28" i="55" s="1"/>
  <c r="M28" i="55" s="1"/>
  <c r="I28" i="55"/>
  <c r="C28" i="55"/>
  <c r="J27" i="55"/>
  <c r="L27" i="55" s="1"/>
  <c r="M27" i="55" s="1"/>
  <c r="I27" i="55"/>
  <c r="C27" i="55"/>
  <c r="J26" i="55"/>
  <c r="L26" i="55" s="1"/>
  <c r="M26" i="55" s="1"/>
  <c r="I26" i="55"/>
  <c r="C26" i="55"/>
  <c r="J25" i="55"/>
  <c r="L25" i="55" s="1"/>
  <c r="M25" i="55" s="1"/>
  <c r="I25" i="55"/>
  <c r="C25" i="55"/>
  <c r="J24" i="55"/>
  <c r="L24" i="55" s="1"/>
  <c r="M24" i="55" s="1"/>
  <c r="I24" i="55"/>
  <c r="C24" i="55"/>
  <c r="J23" i="55"/>
  <c r="L23" i="55" s="1"/>
  <c r="M23" i="55" s="1"/>
  <c r="I23" i="55"/>
  <c r="C23" i="55"/>
  <c r="J22" i="55"/>
  <c r="L22" i="55" s="1"/>
  <c r="M22" i="55" s="1"/>
  <c r="I22" i="55"/>
  <c r="C22" i="55"/>
  <c r="J21" i="55"/>
  <c r="L21" i="55" s="1"/>
  <c r="M21" i="55" s="1"/>
  <c r="I21" i="55"/>
  <c r="C21" i="55"/>
  <c r="J20" i="55"/>
  <c r="L20" i="55" s="1"/>
  <c r="M20" i="55" s="1"/>
  <c r="I20" i="55"/>
  <c r="C20" i="55"/>
  <c r="J19" i="55"/>
  <c r="L19" i="55" s="1"/>
  <c r="M19" i="55" s="1"/>
  <c r="I19" i="55"/>
  <c r="C19" i="55"/>
  <c r="J18" i="55"/>
  <c r="L18" i="55" s="1"/>
  <c r="M18" i="55" s="1"/>
  <c r="I18" i="55"/>
  <c r="C18" i="55"/>
  <c r="J17" i="55"/>
  <c r="L17" i="55" s="1"/>
  <c r="M17" i="55" s="1"/>
  <c r="I17" i="55"/>
  <c r="C17" i="55"/>
  <c r="J16" i="55"/>
  <c r="L16" i="55" s="1"/>
  <c r="M16" i="55" s="1"/>
  <c r="I16" i="55"/>
  <c r="C16" i="55"/>
  <c r="J15" i="55"/>
  <c r="L15" i="55" s="1"/>
  <c r="M15" i="55" s="1"/>
  <c r="I15" i="55"/>
  <c r="C15" i="55"/>
  <c r="J14" i="55"/>
  <c r="L14" i="55" s="1"/>
  <c r="M14" i="55" s="1"/>
  <c r="I14" i="55"/>
  <c r="C14" i="55"/>
  <c r="J13" i="55"/>
  <c r="L13" i="55" s="1"/>
  <c r="M13" i="55" s="1"/>
  <c r="I13" i="55"/>
  <c r="C13" i="55"/>
  <c r="J12" i="55"/>
  <c r="L12" i="55" s="1"/>
  <c r="M12" i="55" s="1"/>
  <c r="I12" i="55"/>
  <c r="C12" i="55"/>
  <c r="J11" i="55"/>
  <c r="L11" i="55" s="1"/>
  <c r="M11" i="55" s="1"/>
  <c r="I11" i="55"/>
  <c r="C11" i="55"/>
  <c r="J10" i="55"/>
  <c r="L10" i="55" s="1"/>
  <c r="M10" i="55" s="1"/>
  <c r="I10" i="55"/>
  <c r="C10" i="55"/>
  <c r="J9" i="55"/>
  <c r="I9" i="55"/>
  <c r="C9" i="55"/>
  <c r="C9" i="31"/>
  <c r="I9" i="31"/>
  <c r="J9" i="31"/>
  <c r="C10" i="31"/>
  <c r="I10" i="31"/>
  <c r="J10" i="31"/>
  <c r="L10" i="31" s="1"/>
  <c r="M10" i="31" s="1"/>
  <c r="C11" i="31"/>
  <c r="I11" i="31"/>
  <c r="J11" i="31"/>
  <c r="L11" i="31" s="1"/>
  <c r="M11" i="31" s="1"/>
  <c r="C12" i="31"/>
  <c r="I12" i="31"/>
  <c r="J12" i="31"/>
  <c r="L12" i="31" s="1"/>
  <c r="M12" i="31" s="1"/>
  <c r="C13" i="31"/>
  <c r="I13" i="31"/>
  <c r="J13" i="31"/>
  <c r="L13" i="31" s="1"/>
  <c r="M13" i="31" s="1"/>
  <c r="C14" i="31"/>
  <c r="I14" i="31"/>
  <c r="J14" i="31"/>
  <c r="L14" i="31" s="1"/>
  <c r="M14" i="31" s="1"/>
  <c r="C15" i="31"/>
  <c r="I15" i="31"/>
  <c r="J15" i="31"/>
  <c r="L15" i="31" s="1"/>
  <c r="M15" i="31" s="1"/>
  <c r="C16" i="31"/>
  <c r="I16" i="31"/>
  <c r="J16" i="31"/>
  <c r="L16" i="31" s="1"/>
  <c r="M16" i="31" s="1"/>
  <c r="C17" i="31"/>
  <c r="I17" i="31"/>
  <c r="J17" i="31"/>
  <c r="L17" i="31" s="1"/>
  <c r="M17" i="31" s="1"/>
  <c r="C18" i="31"/>
  <c r="I18" i="31"/>
  <c r="J18" i="31"/>
  <c r="L18" i="31" s="1"/>
  <c r="M18" i="31" s="1"/>
  <c r="C19" i="31"/>
  <c r="I19" i="31"/>
  <c r="J19" i="31"/>
  <c r="L19" i="31" s="1"/>
  <c r="M19" i="31" s="1"/>
  <c r="C20" i="31"/>
  <c r="I20" i="31"/>
  <c r="J20" i="31"/>
  <c r="L20" i="31" s="1"/>
  <c r="M20" i="31" s="1"/>
  <c r="C21" i="31"/>
  <c r="I21" i="31"/>
  <c r="J21" i="31"/>
  <c r="L21" i="31" s="1"/>
  <c r="M21" i="31" s="1"/>
  <c r="C22" i="31"/>
  <c r="I22" i="31"/>
  <c r="J22" i="31"/>
  <c r="L22" i="31" s="1"/>
  <c r="M22" i="31" s="1"/>
  <c r="C23" i="31"/>
  <c r="I23" i="31"/>
  <c r="J23" i="31"/>
  <c r="L23" i="31" s="1"/>
  <c r="M23" i="31" s="1"/>
  <c r="C24" i="31"/>
  <c r="I24" i="31"/>
  <c r="J24" i="31"/>
  <c r="L24" i="31" s="1"/>
  <c r="M24" i="31" s="1"/>
  <c r="C25" i="31"/>
  <c r="I25" i="31"/>
  <c r="J25" i="31"/>
  <c r="L25" i="31" s="1"/>
  <c r="M25" i="31" s="1"/>
  <c r="C26" i="31"/>
  <c r="I26" i="31"/>
  <c r="J26" i="31"/>
  <c r="L26" i="31" s="1"/>
  <c r="M26" i="31" s="1"/>
  <c r="C27" i="31"/>
  <c r="I27" i="31"/>
  <c r="J27" i="31"/>
  <c r="L27" i="31" s="1"/>
  <c r="M27" i="31" s="1"/>
  <c r="C28" i="31"/>
  <c r="I28" i="31"/>
  <c r="J28" i="31"/>
  <c r="L28" i="31" s="1"/>
  <c r="M28" i="31" s="1"/>
  <c r="C29" i="31"/>
  <c r="I29" i="31"/>
  <c r="J29" i="31"/>
  <c r="L29" i="31" s="1"/>
  <c r="M29" i="31" s="1"/>
  <c r="C30" i="31"/>
  <c r="I30" i="31"/>
  <c r="J30" i="31"/>
  <c r="L30" i="31" s="1"/>
  <c r="M30" i="31" s="1"/>
  <c r="C31" i="31"/>
  <c r="I31" i="31"/>
  <c r="J31" i="31"/>
  <c r="L31" i="31" s="1"/>
  <c r="M31" i="31" s="1"/>
  <c r="C32" i="31"/>
  <c r="C33" i="31"/>
  <c r="C34" i="31"/>
  <c r="I34" i="31"/>
  <c r="J34" i="31"/>
  <c r="L34" i="31" s="1"/>
  <c r="M34" i="31" s="1"/>
  <c r="C35" i="31"/>
  <c r="I35" i="31"/>
  <c r="J35" i="31"/>
  <c r="L35" i="31" s="1"/>
  <c r="M35" i="31" s="1"/>
  <c r="C36" i="31"/>
  <c r="I36" i="31"/>
  <c r="J36" i="31"/>
  <c r="L36" i="31" s="1"/>
  <c r="M36" i="31" s="1"/>
  <c r="C37" i="31"/>
  <c r="I37" i="31"/>
  <c r="J37" i="31"/>
  <c r="L37" i="31" s="1"/>
  <c r="M37" i="31" s="1"/>
  <c r="C38" i="31"/>
  <c r="I38" i="31"/>
  <c r="J38" i="31"/>
  <c r="L38" i="31" s="1"/>
  <c r="M38" i="31" s="1"/>
  <c r="C39" i="31"/>
  <c r="I39" i="31"/>
  <c r="J39" i="31"/>
  <c r="L39" i="31" s="1"/>
  <c r="M39" i="31" s="1"/>
  <c r="C40" i="31"/>
  <c r="I40" i="31"/>
  <c r="J40" i="31"/>
  <c r="L40" i="31" s="1"/>
  <c r="M40" i="31" s="1"/>
  <c r="C41" i="31"/>
  <c r="I41" i="31"/>
  <c r="J41" i="31"/>
  <c r="L41" i="31" s="1"/>
  <c r="M41" i="31" s="1"/>
  <c r="I43" i="31"/>
  <c r="J43" i="31"/>
  <c r="L43" i="31" s="1"/>
  <c r="M43" i="31" s="1"/>
  <c r="I44" i="31"/>
  <c r="J44" i="31"/>
  <c r="L44" i="31" s="1"/>
  <c r="M44" i="31" s="1"/>
  <c r="I45" i="31" l="1"/>
  <c r="I46" i="31" s="1"/>
  <c r="I45" i="55"/>
  <c r="I46" i="55" s="1"/>
  <c r="J45" i="55"/>
  <c r="J46" i="55" s="1"/>
  <c r="L9" i="55"/>
  <c r="I45" i="56"/>
  <c r="I46" i="56" s="1"/>
  <c r="L9" i="31"/>
  <c r="J45" i="31"/>
  <c r="J46" i="31" s="1"/>
  <c r="J45" i="56"/>
  <c r="J46" i="56" s="1"/>
  <c r="L9" i="56"/>
  <c r="L45" i="56" s="1"/>
  <c r="L46" i="56" s="1"/>
  <c r="AG8" i="128"/>
  <c r="AG9" i="128"/>
  <c r="AD8" i="128"/>
  <c r="AD9" i="128"/>
  <c r="I40" i="149"/>
  <c r="I40" i="144"/>
  <c r="J40" i="149"/>
  <c r="I40" i="126"/>
  <c r="C47" i="55"/>
  <c r="M9" i="56"/>
  <c r="M45" i="56" s="1"/>
  <c r="M46" i="56" s="1"/>
  <c r="C47" i="31"/>
  <c r="O45" i="55" l="1"/>
  <c r="P46" i="55"/>
  <c r="Q46" i="55"/>
  <c r="O46" i="55"/>
  <c r="G25" i="176" s="1"/>
  <c r="E14" i="176" s="1"/>
  <c r="P45" i="55"/>
  <c r="G27" i="176" s="1"/>
  <c r="E19" i="176" s="1"/>
  <c r="Q45" i="55"/>
  <c r="G30" i="176" s="1"/>
  <c r="E29" i="176" s="1"/>
  <c r="M9" i="31"/>
  <c r="M45" i="31" s="1"/>
  <c r="M46" i="31" s="1"/>
  <c r="L45" i="31"/>
  <c r="L46" i="31" s="1"/>
  <c r="M9" i="55"/>
  <c r="M45" i="55" s="1"/>
  <c r="M46" i="55" s="1"/>
  <c r="L45" i="55"/>
  <c r="L46" i="55" s="1"/>
  <c r="D28" i="176"/>
  <c r="E23" i="176" s="1"/>
  <c r="D31" i="176"/>
  <c r="E33" i="176" s="1"/>
  <c r="D25" i="176"/>
  <c r="E13" i="176" s="1"/>
  <c r="D30" i="176"/>
  <c r="E28" i="176" s="1"/>
  <c r="D27" i="176"/>
  <c r="E18" i="176" s="1"/>
  <c r="D24" i="176"/>
  <c r="E8" i="176" s="1"/>
  <c r="O46" i="31"/>
  <c r="J25" i="176" s="1"/>
  <c r="E15" i="176" s="1"/>
  <c r="P46" i="31"/>
  <c r="J28" i="176" s="1"/>
  <c r="E25" i="176" s="1"/>
  <c r="O45" i="31"/>
  <c r="J24" i="176" s="1"/>
  <c r="E10" i="176" s="1"/>
  <c r="Q46" i="31"/>
  <c r="J31" i="176" s="1"/>
  <c r="E35" i="176" s="1"/>
  <c r="P45" i="31"/>
  <c r="J27" i="176" s="1"/>
  <c r="E20" i="176" s="1"/>
  <c r="Q45" i="31"/>
  <c r="J30" i="176" s="1"/>
  <c r="E30" i="176" s="1"/>
  <c r="G28" i="176"/>
  <c r="E24" i="176" s="1"/>
  <c r="G31" i="176"/>
  <c r="E34" i="176" s="1"/>
  <c r="G24" i="176"/>
  <c r="E9" i="176" s="1"/>
  <c r="I50" i="126"/>
  <c r="H52" i="126"/>
  <c r="G52" i="126" s="1"/>
  <c r="H48" i="126"/>
  <c r="H54" i="126"/>
  <c r="G54" i="126" s="1"/>
  <c r="H53" i="126"/>
  <c r="G53" i="126" s="1"/>
  <c r="H51" i="126"/>
  <c r="G51" i="126" s="1"/>
  <c r="H57" i="126"/>
  <c r="G57" i="126" s="1"/>
  <c r="H49" i="126"/>
  <c r="G49" i="126" s="1"/>
  <c r="H50" i="126"/>
  <c r="I55" i="126"/>
  <c r="H55" i="126"/>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I55" i="144"/>
  <c r="I50" i="144"/>
  <c r="J40" i="144"/>
  <c r="I50" i="149"/>
  <c r="I55" i="149"/>
  <c r="I40" i="152"/>
  <c r="J40" i="152"/>
  <c r="M40" i="150"/>
  <c r="N40" i="150"/>
  <c r="J40" i="141"/>
  <c r="I40" i="141"/>
  <c r="Z13" i="123"/>
  <c r="I58" i="149" l="1"/>
  <c r="G50" i="126"/>
  <c r="G50" i="144"/>
  <c r="G55" i="149"/>
  <c r="G50" i="149"/>
  <c r="G55" i="144"/>
  <c r="M52" i="144" s="1"/>
  <c r="H53" i="152"/>
  <c r="G53" i="152" s="1"/>
  <c r="H57" i="152"/>
  <c r="G57" i="152" s="1"/>
  <c r="H49" i="152"/>
  <c r="G49" i="152" s="1"/>
  <c r="H55" i="152"/>
  <c r="H51" i="152"/>
  <c r="G51" i="152" s="1"/>
  <c r="H54" i="152"/>
  <c r="G54" i="152" s="1"/>
  <c r="H48" i="152"/>
  <c r="H52" i="152"/>
  <c r="G52" i="152" s="1"/>
  <c r="H50" i="152"/>
  <c r="H58" i="144"/>
  <c r="G48" i="144"/>
  <c r="G58" i="144" s="1"/>
  <c r="G55" i="126"/>
  <c r="M52" i="126" s="1"/>
  <c r="G48" i="126"/>
  <c r="H58" i="126"/>
  <c r="H51" i="141"/>
  <c r="G51" i="141" s="1"/>
  <c r="H52" i="141"/>
  <c r="G52" i="141" s="1"/>
  <c r="H50" i="141"/>
  <c r="H49" i="141"/>
  <c r="G49" i="141" s="1"/>
  <c r="H55" i="141"/>
  <c r="H57" i="141"/>
  <c r="G57" i="141" s="1"/>
  <c r="H54" i="141"/>
  <c r="G54" i="141" s="1"/>
  <c r="H48" i="141"/>
  <c r="H53" i="141"/>
  <c r="G53" i="141" s="1"/>
  <c r="H58" i="149"/>
  <c r="G48" i="149"/>
  <c r="G58" i="149" s="1"/>
  <c r="I58" i="126"/>
  <c r="I58" i="144"/>
  <c r="I50" i="152"/>
  <c r="I55" i="152"/>
  <c r="I50" i="141"/>
  <c r="I55" i="141"/>
  <c r="M52" i="150"/>
  <c r="M48" i="150"/>
  <c r="M52" i="149"/>
  <c r="H59" i="149" l="1"/>
  <c r="M48" i="126"/>
  <c r="M56" i="126" s="1"/>
  <c r="M48" i="149"/>
  <c r="N51" i="149" s="1"/>
  <c r="G58" i="126"/>
  <c r="M48" i="144"/>
  <c r="N51" i="144" s="1"/>
  <c r="G50" i="152"/>
  <c r="H58" i="141"/>
  <c r="G48" i="141"/>
  <c r="H59" i="126"/>
  <c r="H58" i="152"/>
  <c r="G48" i="152"/>
  <c r="G55" i="141"/>
  <c r="M52" i="141" s="1"/>
  <c r="H59" i="144"/>
  <c r="G55" i="152"/>
  <c r="Q52" i="152" s="1"/>
  <c r="G50" i="141"/>
  <c r="I58" i="141"/>
  <c r="I58" i="152"/>
  <c r="N51" i="150"/>
  <c r="M56" i="150"/>
  <c r="M56" i="149" l="1"/>
  <c r="N51" i="126"/>
  <c r="M56" i="144"/>
  <c r="G58" i="152"/>
  <c r="G58" i="141"/>
  <c r="H59" i="141"/>
  <c r="H59" i="152"/>
  <c r="Q48" i="152"/>
  <c r="R51" i="152" s="1"/>
  <c r="M48" i="141"/>
  <c r="Q56" i="152" l="1"/>
  <c r="N51" i="141"/>
  <c r="M56" i="141"/>
  <c r="AH9" i="128"/>
  <c r="AK9" i="128"/>
  <c r="AE9" i="128"/>
  <c r="AB9" i="1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s>
  <commentList>
    <comment ref="G7" authorId="0" shapeId="0" xr:uid="{00000000-0006-0000-2100-000001000000}">
      <text>
        <r>
          <rPr>
            <b/>
            <sz val="10"/>
            <color indexed="81"/>
            <rFont val="Arial"/>
            <family val="2"/>
          </rPr>
          <t>Denk aan woorden als:</t>
        </r>
        <r>
          <rPr>
            <sz val="10"/>
            <color indexed="81"/>
            <rFont val="Arial"/>
            <family val="2"/>
          </rPr>
          <t xml:space="preserve">
- faalangst
- slim
- snel afgeleid
- fijne motoriek
- grove motoriek            </t>
        </r>
        <r>
          <rPr>
            <b/>
            <sz val="10"/>
            <color indexed="81"/>
            <rFont val="Arial"/>
            <family val="2"/>
          </rPr>
          <t>plak geen etiket!</t>
        </r>
        <r>
          <rPr>
            <sz val="10"/>
            <color indexed="81"/>
            <rFont val="Arial"/>
            <family val="2"/>
          </rPr>
          <t xml:space="preserve">
- uitdaging nodig
- concentratie
- motivatie
- onrustig
</t>
        </r>
        <r>
          <rPr>
            <b/>
            <sz val="10"/>
            <color indexed="81"/>
            <rFont val="Arial"/>
            <family val="2"/>
          </rPr>
          <t>Alleen bij diagnose een vinkje zetten:</t>
        </r>
        <r>
          <rPr>
            <sz val="10"/>
            <color indexed="81"/>
            <rFont val="Arial"/>
            <family val="2"/>
          </rPr>
          <t xml:space="preserve">
- hoogbegaafd
- laag begaafd
- AD(H)D
- DCD
- ODD
- hechtingsstoornis
- angstneurose
- ASS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3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00000000-0006-0000-2B00-000001000000}">
      <text>
        <r>
          <rPr>
            <sz val="10"/>
            <color indexed="81"/>
            <rFont val="Arial"/>
            <family val="2"/>
          </rPr>
          <t>Hier kunt u zelf een toets invoeren
Vul in: 
g = goed 
v = voldoende 
m = matig 
o = onvoldoende</t>
        </r>
      </text>
    </comment>
    <comment ref="L4" authorId="0" shapeId="0" xr:uid="{00000000-0006-0000-2B00-000002000000}">
      <text>
        <r>
          <rPr>
            <sz val="10"/>
            <color indexed="81"/>
            <rFont val="Arial"/>
            <family val="2"/>
          </rPr>
          <t>Hier kunt u zelf een toets invoeren
Vul in: 
g = goed 
v = voldoende 
m = matig 
o = onvoldoende</t>
        </r>
      </text>
    </comment>
    <comment ref="M4" authorId="0" shapeId="0" xr:uid="{00000000-0006-0000-2B00-000003000000}">
      <text>
        <r>
          <rPr>
            <sz val="10"/>
            <color indexed="81"/>
            <rFont val="Arial"/>
            <family val="2"/>
          </rPr>
          <t>Hier kunt u zelf een toets invoeren
Vul in: 
g = goed 
v = voldoende 
m = matig 
o = onvoldoende</t>
        </r>
      </text>
    </comment>
    <comment ref="N4" authorId="0" shapeId="0" xr:uid="{00000000-0006-0000-2B00-000004000000}">
      <text>
        <r>
          <rPr>
            <sz val="10"/>
            <color indexed="81"/>
            <rFont val="Arial"/>
            <family val="2"/>
          </rPr>
          <t>Hier kunt u zelf een toets invoeren
Vul in: 
g = goed 
v = voldoende 
m = matig 
o = onvoldoende</t>
        </r>
      </text>
    </comment>
    <comment ref="O4" authorId="0" shapeId="0" xr:uid="{00000000-0006-0000-2B00-000005000000}">
      <text>
        <r>
          <rPr>
            <sz val="10"/>
            <color indexed="81"/>
            <rFont val="Arial"/>
            <family val="2"/>
          </rPr>
          <t>Hier kunt u zelf een toets invoeren
Vul in: 
g = goed 
v = voldoende 
m = matig 
o = onvoldoende</t>
        </r>
      </text>
    </comment>
    <comment ref="P4" authorId="0" shapeId="0" xr:uid="{00000000-0006-0000-2B00-000006000000}">
      <text>
        <r>
          <rPr>
            <sz val="10"/>
            <color indexed="81"/>
            <rFont val="Tahoma"/>
            <family val="2"/>
          </rPr>
          <t>Hier kunt u zelf een toets invoeren
Vul in: 
g = goed 
v = voldoende 
m = matig 
o = onvoldoende</t>
        </r>
      </text>
    </comment>
    <comment ref="Q4" authorId="0" shapeId="0" xr:uid="{00000000-0006-0000-2B00-000007000000}">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0000000-0006-0000-2D00-000001000000}">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0000000-0006-0000-2D00-000002000000}">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00000000-0006-0000-2D00-000003000000}">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00000000-0006-0000-2D00-000004000000}">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00000000-0006-0000-2D00-000005000000}">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00000000-0006-0000-2D00-000006000000}">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00000000-0006-0000-2D00-000007000000}">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00000000-0006-0000-2D00-000008000000}">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00000000-0006-0000-2D00-000009000000}">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00000000-0006-0000-2D00-00000A000000}">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00000000-0006-0000-2D00-00000B000000}">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00000000-0006-0000-2D00-00000C000000}">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00000000-0006-0000-2D00-00000D000000}">
      <text>
        <r>
          <rPr>
            <sz val="12"/>
            <color indexed="81"/>
            <rFont val="Arial"/>
            <family val="2"/>
          </rPr>
          <t>Hier kunt u zelf nog een gebied voor Basisondersteuning - plus toevoegen</t>
        </r>
      </text>
    </comment>
    <comment ref="P31" authorId="0" shapeId="0" xr:uid="{00000000-0006-0000-2D00-00000E000000}">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00000000-0006-0000-2D00-00000F000000}">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00000000-0006-0000-2D00-000010000000}">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00000000-0006-0000-2D00-000011000000}">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00000000-0006-0000-2D00-00001200000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00000000-0006-0000-2D00-000013000000}">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00000000-0006-0000-2D00-000014000000}">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00000000-0006-0000-2D00-000015000000}">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00000000-0006-0000-2D00-000016000000}">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0000000-0006-0000-2D00-000017000000}">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0000000-0006-0000-2D00-000018000000}">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00000000-0006-0000-2D00-000019000000}">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00000000-0006-0000-2D00-00001A000000}">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00000000-0006-0000-2D00-00001B000000}">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00000000-0006-0000-2D00-00001C000000}">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sharedStrings.xml><?xml version="1.0" encoding="utf-8"?>
<sst xmlns="http://schemas.openxmlformats.org/spreadsheetml/2006/main" count="1513" uniqueCount="478">
  <si>
    <t>totaal</t>
  </si>
  <si>
    <t>GROEP</t>
  </si>
  <si>
    <t>groep</t>
  </si>
  <si>
    <t>begrijpend lezen</t>
  </si>
  <si>
    <t>rekenen &amp; wiskunde</t>
  </si>
  <si>
    <t>namen leerlingen:</t>
  </si>
  <si>
    <t>aantal toetsen</t>
  </si>
  <si>
    <t>evaluatie</t>
  </si>
  <si>
    <t>spelling</t>
  </si>
  <si>
    <t>Gemiddeld</t>
  </si>
  <si>
    <t>Niveau</t>
  </si>
  <si>
    <t xml:space="preserve">datum: </t>
  </si>
  <si>
    <t>verrijkt</t>
  </si>
  <si>
    <t>intensief</t>
  </si>
  <si>
    <t>basis</t>
  </si>
  <si>
    <t xml:space="preserve"> A-1+ t/m E-5-</t>
  </si>
  <si>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</si>
  <si>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</si>
  <si>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</si>
  <si>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t xml:space="preserve">                           </t>
  </si>
  <si>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</si>
  <si>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</si>
  <si>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</si>
  <si>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</si>
  <si>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</si>
  <si>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</si>
  <si>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</si>
  <si>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</si>
  <si>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</si>
  <si>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</si>
  <si>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</si>
  <si>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</si>
  <si>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t>Handige Stap: 2 schermen naast elkaar</t>
  </si>
  <si>
    <t>1.     Het is best handig om met 2 schermen naast elkaar te werken:</t>
  </si>
  <si>
    <r>
      <t>3.</t>
    </r>
    <r>
      <rPr>
        <sz val="7"/>
        <rFont val="Times New Roman"/>
        <family val="1"/>
      </rPr>
      <t xml:space="preserve">       </t>
    </r>
    <r>
      <rPr>
        <sz val="11"/>
        <rFont val="Calibri"/>
        <family val="2"/>
      </rPr>
      <t>Zorg dat de Niet-methodetoetsen (rolvenster) op Niveauwaarde – Recent staat (zie hieronder)</t>
    </r>
  </si>
  <si>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</si>
  <si>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</si>
  <si>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</si>
  <si>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</si>
  <si>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 xml:space="preserve">        2.     Links = de kolommen met scores / Rechts = het Groepsplan</t>
  </si>
  <si>
    <t xml:space="preserve">        3.     Klik op het bestand + druk op de windows-knop + pijltjestoets (naar links of rechts)</t>
  </si>
  <si>
    <r>
      <t xml:space="preserve">Zo voer je de </t>
    </r>
    <r>
      <rPr>
        <b/>
        <u/>
        <sz val="16"/>
        <color rgb="FFFF0000"/>
        <rFont val="Arial"/>
        <family val="2"/>
      </rPr>
      <t>niveauwaarden</t>
    </r>
    <r>
      <rPr>
        <b/>
        <sz val="16"/>
        <color rgb="FFFF0000"/>
        <rFont val="Arial"/>
        <family val="2"/>
      </rPr>
      <t xml:space="preserve"> van ParnasSys in het Groepsplan</t>
    </r>
  </si>
  <si>
    <t>vorig jaar</t>
  </si>
  <si>
    <t>1e toetsperiode</t>
  </si>
  <si>
    <t>2e toetsperiode</t>
  </si>
  <si>
    <t>LEERLING:</t>
  </si>
  <si>
    <t>okt.</t>
  </si>
  <si>
    <t>TL - vorig jaar</t>
  </si>
  <si>
    <t>TL - 1e periode</t>
  </si>
  <si>
    <t>TL - 2e periode</t>
  </si>
  <si>
    <t>BL - vorig jaar</t>
  </si>
  <si>
    <t>BL - 1e periode</t>
  </si>
  <si>
    <t>BL - 2e periode</t>
  </si>
  <si>
    <t>SP - vorig jaar</t>
  </si>
  <si>
    <t>SP - 1e periode</t>
  </si>
  <si>
    <t>SP - 2e periode</t>
  </si>
  <si>
    <t>R&amp;W - vorig jaar</t>
  </si>
  <si>
    <t>R&amp;W - 1e periode</t>
  </si>
  <si>
    <t>R&amp;W - 2e periode</t>
  </si>
  <si>
    <t>gemiddelde-LVS</t>
  </si>
  <si>
    <t>totaal:</t>
  </si>
  <si>
    <t xml:space="preserve">namen </t>
  </si>
  <si>
    <t>TOETSAFSPRAKEN EN NOTITIES</t>
  </si>
  <si>
    <t>toetsafspraken</t>
  </si>
  <si>
    <t>notities</t>
  </si>
  <si>
    <t xml:space="preserve"> vorige afname</t>
  </si>
  <si>
    <t xml:space="preserve"> EMT - Brus 2019</t>
  </si>
  <si>
    <t xml:space="preserve"> invoer: A-E of 1-5</t>
  </si>
  <si>
    <t>Intensief</t>
  </si>
  <si>
    <t>aanbod</t>
  </si>
  <si>
    <t>doel</t>
  </si>
  <si>
    <t>wat?</t>
  </si>
  <si>
    <t>Verrijkt</t>
  </si>
  <si>
    <t>maandag</t>
  </si>
  <si>
    <t>dinsdag</t>
  </si>
  <si>
    <t>woensdag</t>
  </si>
  <si>
    <t>donderdag</t>
  </si>
  <si>
    <t>vrijdag</t>
  </si>
  <si>
    <t>zeer goed    = A1+</t>
  </si>
  <si>
    <t>voldoende</t>
  </si>
  <si>
    <t>goed             = A-1</t>
  </si>
  <si>
    <t>boven gem.  = A2+B2</t>
  </si>
  <si>
    <t>gemiddeld     = B3</t>
  </si>
  <si>
    <t>gemiddeld     = C3</t>
  </si>
  <si>
    <t>onvoldoende</t>
  </si>
  <si>
    <t>onder gem.   = C4</t>
  </si>
  <si>
    <t>onder gem.   = D4</t>
  </si>
  <si>
    <t>zwak            = D5 + E5</t>
  </si>
  <si>
    <t>zeer zwak    = E5-</t>
  </si>
  <si>
    <t>aanleg</t>
  </si>
  <si>
    <t>OPO</t>
  </si>
  <si>
    <t>technisch lezen</t>
  </si>
  <si>
    <t>onder</t>
  </si>
  <si>
    <t>75% van de leerlingen</t>
  </si>
  <si>
    <t>25% van de leerlingen</t>
  </si>
  <si>
    <t>boven</t>
  </si>
  <si>
    <t>TL</t>
  </si>
  <si>
    <t>SP</t>
  </si>
  <si>
    <t>BL</t>
  </si>
  <si>
    <t>RW</t>
  </si>
  <si>
    <t>HR</t>
  </si>
  <si>
    <t>hoofdrekenen</t>
  </si>
  <si>
    <t>Informatie bij OPO (Opbrengstgericht Passend Onderwijs)</t>
  </si>
  <si>
    <t>HR - vorig jaar</t>
  </si>
  <si>
    <t>HR - 1e periode</t>
  </si>
  <si>
    <t>HR - 2e periode</t>
  </si>
  <si>
    <t>volgende periode</t>
  </si>
  <si>
    <t>gemiddeld</t>
  </si>
  <si>
    <t>Hier ben ik trots op</t>
  </si>
  <si>
    <t>Dit wil ik leren</t>
  </si>
  <si>
    <t>HOE</t>
  </si>
  <si>
    <t>DOEL</t>
  </si>
  <si>
    <t>IK KAN</t>
  </si>
  <si>
    <t>NODIG</t>
  </si>
  <si>
    <t>EVALUATIE</t>
  </si>
  <si>
    <t>Zo ga ik dat doen</t>
  </si>
  <si>
    <t>Dit heb ik nodig</t>
  </si>
  <si>
    <t>PRO</t>
  </si>
  <si>
    <t>BBL</t>
  </si>
  <si>
    <t>KBL</t>
  </si>
  <si>
    <t>GTL</t>
  </si>
  <si>
    <t>HAVO</t>
  </si>
  <si>
    <t>VWO</t>
  </si>
  <si>
    <t>Technisch lezen - 1e periode</t>
  </si>
  <si>
    <t>TECHNISCH LEZEN - klik hier</t>
  </si>
  <si>
    <t>datum:
Ik heb mijn doel wel / niet bereikt, want</t>
  </si>
  <si>
    <t>Begrijpend lezen - 2e periode</t>
  </si>
  <si>
    <t>Begrijpend lezen - 1e periode</t>
  </si>
  <si>
    <t xml:space="preserve"> LVS woord lezen</t>
  </si>
  <si>
    <t xml:space="preserve">  LVS zinnen lezen</t>
  </si>
  <si>
    <t xml:space="preserve"> LVS  begrijpend lezen</t>
  </si>
  <si>
    <t xml:space="preserve"> LVS woordenschat</t>
  </si>
  <si>
    <t>BEGRIJPEND LEZEN - klik hier</t>
  </si>
  <si>
    <t>1e periode - INTENSIEVE AANPAK = LAAGSTE 10%</t>
  </si>
  <si>
    <t>1e periode - BASISAANPAK - MIDDENMOOT</t>
  </si>
  <si>
    <t>2e periode - TECHNISCH LEZEN - klik hier</t>
  </si>
  <si>
    <t>2e periode - BEGRIJPEND LEZEN - klik hier</t>
  </si>
  <si>
    <t>1e periode - TECHNISCH LEZEN - klik hier</t>
  </si>
  <si>
    <t>1e periode - VERRIJKTE AANPAK = HOOGSTE 10%</t>
  </si>
  <si>
    <t>1e periode - BEGRIJPEND LEZEN - klik hier</t>
  </si>
  <si>
    <t>2e periode - VERRIJKTE AANPAK = HOOGSTE 10%</t>
  </si>
  <si>
    <t>Spellen - 2e periode</t>
  </si>
  <si>
    <t xml:space="preserve"> LVS werkwoorden</t>
  </si>
  <si>
    <t xml:space="preserve"> LVS  spellen</t>
  </si>
  <si>
    <t xml:space="preserve"> 1e periode</t>
  </si>
  <si>
    <t>SPELLEN - klik hier</t>
  </si>
  <si>
    <t>Rekenen - 1e periode</t>
  </si>
  <si>
    <t xml:space="preserve"> LVS  rekenen</t>
  </si>
  <si>
    <t xml:space="preserve"> LVS hoofdrekenen</t>
  </si>
  <si>
    <t>Hoofdrekenen - 1e periode</t>
  </si>
  <si>
    <t xml:space="preserve"> LVS  hoofdrekenen</t>
  </si>
  <si>
    <t xml:space="preserve"> optellen</t>
  </si>
  <si>
    <t xml:space="preserve"> aftrekken</t>
  </si>
  <si>
    <t xml:space="preserve"> tafels</t>
  </si>
  <si>
    <t>REKENEN &amp; WISKUNDE - klik hier</t>
  </si>
  <si>
    <t>HOOFDREKENEN - klik hier</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</si>
  <si>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</si>
  <si>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</si>
  <si>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</si>
  <si>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</si>
  <si>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</si>
  <si>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</si>
  <si>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</si>
  <si>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Noteer een leerling maar één keer in een categorie</t>
  </si>
  <si>
    <t>totaal aantal leerlingen</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</si>
  <si>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</si>
  <si>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</si>
  <si>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</si>
  <si>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</si>
  <si>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</si>
  <si>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</si>
  <si>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</si>
  <si>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</si>
  <si>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</si>
  <si>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</si>
  <si>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</si>
  <si>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</si>
  <si>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</si>
  <si>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</si>
  <si>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</si>
  <si>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</si>
  <si>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</si>
  <si>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</si>
  <si>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</si>
  <si>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</si>
  <si>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</si>
  <si>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</si>
  <si>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</si>
  <si>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</si>
  <si>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</si>
  <si>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</si>
  <si>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</si>
  <si>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</si>
  <si>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</si>
  <si>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</si>
  <si>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</si>
  <si>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</si>
  <si>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</si>
  <si>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</si>
  <si>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</si>
  <si>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</si>
  <si>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</si>
  <si>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Rekenen</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</si>
  <si>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</si>
  <si>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</si>
  <si>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</si>
  <si>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</si>
  <si>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</si>
  <si>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</si>
  <si>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</si>
  <si>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</si>
  <si>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</si>
  <si>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</si>
  <si>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</si>
  <si>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</si>
  <si>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</si>
  <si>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</si>
  <si>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</si>
  <si>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</si>
  <si>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</si>
  <si>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geb.datum</t>
  </si>
  <si>
    <t>jaar</t>
  </si>
  <si>
    <t>maand</t>
  </si>
  <si>
    <t>informatie bij AANLEG</t>
  </si>
  <si>
    <t>informatie bij het PLAN PER VAK</t>
  </si>
  <si>
    <t>Informatie bij OPP ( = OntwikkelingsPersPectief)</t>
  </si>
  <si>
    <t>informatie bij INTENSIEVE AANPAK en VERRIJKTE AANPAK</t>
  </si>
  <si>
    <t>informatie bij BASISAANPAK</t>
  </si>
  <si>
    <t>informatie bij LijV - groepsoverzicht</t>
  </si>
  <si>
    <t>spellen</t>
  </si>
  <si>
    <t>rekenen</t>
  </si>
  <si>
    <t>Informatie bij KINDGESPREK</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</si>
  <si>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</si>
  <si>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</si>
  <si>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</si>
  <si>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</si>
  <si>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</si>
  <si>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</si>
  <si>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</si>
  <si>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</si>
  <si>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</si>
  <si>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</si>
  <si>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</si>
  <si>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</si>
  <si>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</si>
  <si>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B</t>
  </si>
  <si>
    <t>C</t>
  </si>
  <si>
    <t>C-</t>
  </si>
  <si>
    <t>A</t>
  </si>
  <si>
    <t>A+</t>
  </si>
  <si>
    <t>apr.</t>
  </si>
  <si>
    <t>mei.</t>
  </si>
  <si>
    <t>1e  periode</t>
  </si>
  <si>
    <t>2e periode</t>
  </si>
  <si>
    <t>nov.</t>
  </si>
  <si>
    <t>OPMERKING:</t>
  </si>
  <si>
    <t>De aanpak van de 1e periode wordt automatisch gekoppeld aan de 2e periode</t>
  </si>
  <si>
    <t>Zo kan de aanpak voor de 2e periode gemakkelijk gewijzigd worden.</t>
  </si>
  <si>
    <t>dag</t>
  </si>
  <si>
    <t>tijd</t>
  </si>
  <si>
    <t>D</t>
  </si>
  <si>
    <t>E</t>
  </si>
  <si>
    <t>© Harrie Meinen M SEN</t>
  </si>
  <si>
    <t>Sociaal en emotioneel</t>
  </si>
  <si>
    <t>Informatie bij SOCIAAL EMOTIONEEL</t>
  </si>
  <si>
    <t>ORGANISATIE</t>
  </si>
  <si>
    <t>STAP 3: Voer in: Basisaanpak - Intensieve aanpak - Verrijkte aanpak</t>
  </si>
  <si>
    <t>STAP 1: Voer de namen van de leerlingen in + geb.datum + groep + periode 1 en periode 2</t>
  </si>
  <si>
    <t>STAP 2: Voer de niveauwaarden (laatste toetsperiode - afgelopen jaar) in via Groepskaart - ParnasSys</t>
  </si>
  <si>
    <t>schooladvies groep 8</t>
  </si>
  <si>
    <t xml:space="preserve"> DIAGNOSE?</t>
  </si>
  <si>
    <t>Informatie bij ADVIES VO</t>
  </si>
  <si>
    <t>DL / DLE</t>
  </si>
  <si>
    <t>NIVEAUWAARDE</t>
  </si>
  <si>
    <t>Didactische
Leefijd (DL)</t>
  </si>
  <si>
    <t>Gem. leerrendement</t>
  </si>
  <si>
    <t>gem.</t>
  </si>
  <si>
    <t>gemiddelde-DLE</t>
  </si>
  <si>
    <t>Informatie bij DL - DLE</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</si>
  <si>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</si>
  <si>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</si>
  <si>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</si>
  <si>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</si>
  <si>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</si>
  <si>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</si>
  <si>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x</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</si>
  <si>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</si>
  <si>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</si>
  <si>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</si>
  <si>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</si>
  <si>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</si>
  <si>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</si>
  <si>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</si>
  <si>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Kan grote denkstappen maken</t>
  </si>
  <si>
    <t>Totaal aantal x en ?</t>
  </si>
  <si>
    <t>deel 2 = bij een score van 5 of meer op deel 1</t>
  </si>
  <si>
    <t>signalen van zorg (SVZ)</t>
  </si>
  <si>
    <t>Zelfbeeld 
aspecten</t>
  </si>
  <si>
    <t>Heeft moeite met uiten van eigen
gevoelens en gedachten</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</si>
  <si>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</si>
  <si>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</si>
  <si>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</si>
  <si>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</si>
  <si>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</si>
  <si>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</si>
  <si>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</si>
  <si>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</si>
  <si>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</si>
  <si>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</si>
  <si>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</si>
  <si>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</si>
  <si>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</si>
  <si>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 xml:space="preserve"> deeltafels</t>
  </si>
  <si>
    <t xml:space="preserve"> klokkijken analoog</t>
  </si>
  <si>
    <t xml:space="preserve"> klokkijken digitaal</t>
  </si>
  <si>
    <t xml:space="preserve"> metriek stelstel</t>
  </si>
  <si>
    <t>o</t>
  </si>
  <si>
    <t>Gaat graag dieper in op een onderwerp</t>
  </si>
  <si>
    <t>Komt 'wereldwijs' over</t>
  </si>
  <si>
    <t xml:space="preserve"> Opvallende score?</t>
  </si>
  <si>
    <t xml:space="preserve"> Handelen?</t>
  </si>
  <si>
    <t>Sociogram</t>
  </si>
  <si>
    <t>Kanjerlijst 6-7-8</t>
  </si>
  <si>
    <t>LijV 4-5</t>
  </si>
  <si>
    <t xml:space="preserve"> veel gekozen</t>
  </si>
  <si>
    <t xml:space="preserve"> weinig gekozen</t>
  </si>
  <si>
    <t xml:space="preserve"> Negatieve intenties = zwart</t>
  </si>
  <si>
    <t xml:space="preserve"> Ongelukkig - somber = geel</t>
  </si>
  <si>
    <t xml:space="preserve"> Onrustig - verstorend = rood</t>
  </si>
  <si>
    <t xml:space="preserve"> Hulpvaardig - sociaal = wit</t>
  </si>
  <si>
    <t>klassenzorgscore:</t>
  </si>
  <si>
    <t xml:space="preserve">groep </t>
  </si>
  <si>
    <t>8B</t>
  </si>
  <si>
    <t>Leesniveau niveauwaarde minimaal 0,5 punt omhoog, Avi minimaal één Avi omhoog</t>
  </si>
  <si>
    <t>Werkwoordspelling: Niveauwaarde minimaal 0,5 punt omhoog</t>
  </si>
  <si>
    <t>Een actieve houding bij begrijpend lezen, een eigen kritische houding ten aanzien van het begrip, van elkaar leren bij het begrijpend lezen.</t>
  </si>
  <si>
    <t>Niveauwaarde minimaal 0,5 punt omhoog. Actieve leerhouding tijdens instructie.</t>
  </si>
  <si>
    <t>Tempo bij automatiseringstoetsen verhogen, minimaal 0,5 punt vooruitgang.</t>
  </si>
  <si>
    <t xml:space="preserve"> - woordleesniveau: niveauwaarden 0,5 punten omhoog
 - AVI niveau minimaal één niveau omhoog
 - leesplezier bevorderen</t>
  </si>
  <si>
    <t xml:space="preserve"> - methodedictee voldoende scoren
 - Cito Spellen minimaal B niveau
 - Niveau Cito spellen mag niet omlaag gaan - NW 0,5 punten omhoog</t>
  </si>
  <si>
    <t xml:space="preserve"> - basistoetsen WIG voldoende scoren
 - Cito rekenen: niveauwaarden 0,5 pnt. vooruit</t>
  </si>
  <si>
    <t xml:space="preserve"> - handige strategieën kennen + toepassen
 - tempo rekenen opvoeren / tafels memoriseren
 - snel cijferend kunnen rekenen (100 sommen in 5 min.)</t>
  </si>
  <si>
    <t>Leesplezier bevorderen, leesniveau 0,5 punt omhoog, Avi één niveau omhoog (of behouden)</t>
  </si>
  <si>
    <t>Motivatie behouden.</t>
  </si>
  <si>
    <t>ASS = Hoogsensitief</t>
  </si>
  <si>
    <t>ADHD</t>
  </si>
  <si>
    <t>Levelwerk</t>
  </si>
  <si>
    <t>Levelwerk + Plusklas</t>
  </si>
  <si>
    <t>ASS - rekenen</t>
  </si>
  <si>
    <t>ADHD + ADD</t>
  </si>
  <si>
    <t>Angststoornis</t>
  </si>
  <si>
    <t xml:space="preserve">levelwerk, zelfvertrouwen </t>
  </si>
  <si>
    <t>M6</t>
  </si>
  <si>
    <t>PLUS</t>
  </si>
  <si>
    <t>E7</t>
  </si>
  <si>
    <t>M7</t>
  </si>
  <si>
    <t>M7E7</t>
  </si>
  <si>
    <t>E5</t>
  </si>
  <si>
    <t>M6E6</t>
  </si>
  <si>
    <t xml:space="preserve"> - Op de weektaak staat SOM, elke week twee lessen die op dinsdag worden voorbesproken
 in de klas: letten op netjes werken - goed overschrijven - bewust kijken - geconcentreerd werken,
 - modellen van de spellingsregels + strategie: juistse spellingcategorie kunnen benoemen bij de dictees
 - zelf controleren - bewust kijken - niet te snel denken: het is wel goed 
 - drie keer in de week: J.S. dictee
 - thuis: eventueel taalblobs of in de klas.</t>
  </si>
  <si>
    <t xml:space="preserve"> - werken met S+ werkboek
 - zelf nakijken (meer dan 3 fouten, fouten verbeteren)
- Op weektaak als extra verplicht werk Bingel
</t>
  </si>
  <si>
    <t>level</t>
  </si>
  <si>
    <t>8.50-9.10 duo-lezen</t>
  </si>
  <si>
    <t xml:space="preserve">8.30-9.00 leesgroepje </t>
  </si>
  <si>
    <t xml:space="preserve">8.30-8.50 leesgroepje </t>
  </si>
  <si>
    <t>8.30-8.50 duo-lezen</t>
  </si>
  <si>
    <t>level en lezen groep 3</t>
  </si>
  <si>
    <t>Ronan</t>
  </si>
  <si>
    <t>?</t>
  </si>
  <si>
    <t>E6</t>
  </si>
  <si>
    <t>v</t>
  </si>
  <si>
    <t>g</t>
  </si>
  <si>
    <t>m</t>
  </si>
  <si>
    <t>Op maandag doen we een les Nieuwsbegrip of een 'sessie' Close reading. De actieve houding staat centraal; door verschillende tekstsoorten aan te bieden ook een negatieve houding proberen te voorkomen/te veranderen. Op de computer doen de lln. Nieuwsbegrip. Daarnaast nog een les Blits-studievaardigheden.</t>
  </si>
  <si>
    <t>Uitdaging bieden.</t>
  </si>
  <si>
    <t>afhaken</t>
  </si>
  <si>
    <t>weinig gemotiveerd</t>
  </si>
  <si>
    <t xml:space="preserve">4 = </t>
  </si>
  <si>
    <t>nog harder werken</t>
  </si>
  <si>
    <t>stress</t>
  </si>
  <si>
    <t xml:space="preserve">3 = </t>
  </si>
  <si>
    <t>evenwicht behouden</t>
  </si>
  <si>
    <t>voldoende gemotiveerd</t>
  </si>
  <si>
    <t xml:space="preserve">2 = </t>
  </si>
  <si>
    <t>(kind)
gesprek</t>
  </si>
  <si>
    <t>achterover leunen</t>
  </si>
  <si>
    <t>makkie</t>
  </si>
  <si>
    <t xml:space="preserve">1 = </t>
  </si>
  <si>
    <t>actie</t>
  </si>
  <si>
    <t>valkuil</t>
  </si>
  <si>
    <t>totaal %</t>
  </si>
  <si>
    <t>Vakken</t>
  </si>
  <si>
    <t xml:space="preserve"> - 2x per week toneellezen/ stillezen 1x per week
 - tijdens hardop lezen letten op het op toon lezen = leesbegrip
 - daarnaast ook nog stilleesmomenten
 - voorlezen door de leerkracht = boekpromotie. Plezier in het lezen bevorderen
- tutorlezen met groep 3
- boekenkring 1x per week om lezen te promoten</t>
  </si>
  <si>
    <t xml:space="preserve">Tutorlezen met groep 3, Levelwerk, toneellezen </t>
  </si>
  <si>
    <t>1x in de week een aparte les werkwoordspelling-klassikaal. Aandacht voor het consequent toepassen van de regels-in schema.Daarnaast drie keer per week dictee JS en SOM werkboek op de weektaak
Extra op weektaak: werkwoordspelling</t>
  </si>
  <si>
    <t xml:space="preserve">1x in de week klassikaal aan het begin van de les: Optellen, aftrekken, vermenigvuldigen, delen, metriek stelsel. Veel aandacht voor de strategie, om de som handig uit te rekenen. Daarnaast is er in de methode aandacht voor hoofdrekenen. Kinderen maken in de week erna de les af.  
</t>
  </si>
  <si>
    <t xml:space="preserve">Op maandag doen we een les Nieuwsbegrip of een 'sessie' Close reading. De actieve houding staat centraal; door verschillende tekstsoorten aan te bieden ook een negatieve houding proberen te voorkomen/te veranderen. Op de computer doen de lln. één onderdeel van Nieuwsbegrip. Daarnaast nog een les Blits-studievaardigheden. Verder staat bij Topondernemers ook het 'begrip' centraal. Kinderen die onvoldoende/matig scoren krijgen als extra verplicht werk alle online onderdelen van Nieuwsbegrip. </t>
  </si>
  <si>
    <t>REFERENTIE
SCORE</t>
  </si>
  <si>
    <t>LEZEN</t>
  </si>
  <si>
    <t>TAAL</t>
  </si>
  <si>
    <t>REKENEN</t>
  </si>
  <si>
    <t>1F</t>
  </si>
  <si>
    <t>2F/1S</t>
  </si>
  <si>
    <t>%1F</t>
  </si>
  <si>
    <t>%2F/1S</t>
  </si>
  <si>
    <t>2F</t>
  </si>
  <si>
    <t>schooljaar</t>
  </si>
  <si>
    <t>schoolweging</t>
  </si>
  <si>
    <t>1F scores</t>
  </si>
  <si>
    <t>signaal 1F</t>
  </si>
  <si>
    <t>landelijk 1F</t>
  </si>
  <si>
    <t>2F / 1S scores</t>
  </si>
  <si>
    <t>signaal 2F/1S</t>
  </si>
  <si>
    <t>landelijk 2F/1S</t>
  </si>
  <si>
    <t>Referentieniveau - vorige jaar</t>
  </si>
  <si>
    <t>Referentieniveau - 1e toets</t>
  </si>
  <si>
    <t>Referentieniveau - 2e toets</t>
  </si>
  <si>
    <t>Referentieniveau - Eindtoets</t>
  </si>
  <si>
    <t>vakgebied</t>
  </si>
  <si>
    <t>score</t>
  </si>
  <si>
    <t>1F - LEZEN</t>
  </si>
  <si>
    <t>2F - LEZEN</t>
  </si>
  <si>
    <t>1F - TAAL</t>
  </si>
  <si>
    <t>2F - TAAL</t>
  </si>
  <si>
    <t>1F - REKENEN</t>
  </si>
  <si>
    <t>2F - REKENEN</t>
  </si>
  <si>
    <t>Schoolweging</t>
  </si>
  <si>
    <t>Signaleringswaarde</t>
  </si>
  <si>
    <t>LG 1S/2F</t>
  </si>
  <si>
    <t>LG 1F</t>
  </si>
  <si>
    <t>CBS De Kardoen</t>
  </si>
  <si>
    <t>grootste 25%</t>
  </si>
  <si>
    <t>kleinste 75%</t>
  </si>
  <si>
    <t>aantal</t>
  </si>
  <si>
    <t>leerling 1</t>
  </si>
  <si>
    <t>leerling 2</t>
  </si>
  <si>
    <t>leerling 3</t>
  </si>
  <si>
    <t>leerling 4</t>
  </si>
  <si>
    <t>leerling 5</t>
  </si>
  <si>
    <t>leerling 6</t>
  </si>
  <si>
    <t>leerling 7</t>
  </si>
  <si>
    <t>leerling 8</t>
  </si>
  <si>
    <t>leerling 9</t>
  </si>
  <si>
    <t>leerling 10</t>
  </si>
  <si>
    <t>leerling 11</t>
  </si>
  <si>
    <t>leerling 12</t>
  </si>
  <si>
    <t>leerling 13</t>
  </si>
  <si>
    <t>leerling 14</t>
  </si>
  <si>
    <t>leerling 15</t>
  </si>
  <si>
    <t>leerling 16</t>
  </si>
  <si>
    <t>leerling 17</t>
  </si>
  <si>
    <t>leerling 18</t>
  </si>
  <si>
    <t>leerling 19</t>
  </si>
  <si>
    <t>leerling 20</t>
  </si>
  <si>
    <t>leerling 21</t>
  </si>
  <si>
    <t>leerling 22</t>
  </si>
  <si>
    <t>leerling 23</t>
  </si>
  <si>
    <t>leerling 24</t>
  </si>
  <si>
    <t>leerling 25</t>
  </si>
  <si>
    <t>leerling 26</t>
  </si>
  <si>
    <t>R</t>
  </si>
  <si>
    <t>T</t>
  </si>
  <si>
    <t>Y</t>
  </si>
  <si>
    <t>U</t>
  </si>
  <si>
    <t>K</t>
  </si>
  <si>
    <t>F</t>
  </si>
  <si>
    <t>G</t>
  </si>
  <si>
    <t>H</t>
  </si>
  <si>
    <t>N</t>
  </si>
  <si>
    <t>P</t>
  </si>
  <si>
    <t>V</t>
  </si>
  <si>
    <t xml:space="preserve">Maandag- en woensdagochtend leesgroepje o.b.v. leerkracht. Overige dagen lezen in een leesboek, toneellezen 2x per week. 
Oefenen met tempo, intonatie, lezen van leestekens. </t>
  </si>
  <si>
    <t>H,K,Y,R,T werken in het Fs boek. 
B heeft werkboek thuis: de lessen worden voorbesproken. Taken maakt hij alleen nog op de computer.</t>
  </si>
  <si>
    <t xml:space="preserve"> - minimaal 1x per week automatiseren naast de methode 
 - begin v.d. rekenles; 5 min. - daarna afmaken in de weektaaktijd
 - met kopieerbladen van ambrasoft &gt;&gt; boekje (5 à 10 minuten)
 -Daarnaast biedt de methode automatiseren aan. Even afwachten of dit voldoende is.</t>
  </si>
  <si>
    <t>Compacte route spelling (lessen) voor: T, M, N, K, N
Dinsdag geen dictee JS=&gt; weektaaktijd</t>
  </si>
  <si>
    <t>De pluskinderen: maken zowel bij lessen als bij taken alleen de opgaven met &gt;&gt; en daarna de plustaken</t>
  </si>
  <si>
    <t>Levelwerk, pluswerkboek taal, C-niveau Nieuwsbegrip voor: D, M, B, G, J</t>
  </si>
  <si>
    <t>groep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</si>
</sst>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mm/yy;@"/>
    <numFmt numFmtId="166" formatCode="0.0%"/>
    <numFmt numFmtId="167" formatCode="_ * #,##0.00_ ;_ * \-#,##0.00_ ;_ * \-??_ ;_ @_ "/>
    <numFmt numFmtId="168" formatCode="#,##0.0000000000000000"/>
    <numFmt numFmtId="169" formatCode="#,##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8"/>
      <color rgb="FF000000"/>
      <name val="Tahoma"/>
      <family val="2"/>
    </font>
    <font>
      <sz val="10"/>
      <color rgb="FF00FF00"/>
      <name val="Arial"/>
      <family val="2"/>
    </font>
    <font>
      <sz val="8"/>
      <color indexed="9"/>
      <name val="Arial"/>
      <family val="2"/>
    </font>
    <font>
      <b/>
      <i/>
      <sz val="12"/>
      <color indexed="9"/>
      <name val="Comic Sans MS"/>
      <family val="4"/>
    </font>
    <font>
      <sz val="7"/>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4"/>
      <name val="Calibri"/>
      <family val="2"/>
      <scheme val="minor"/>
    </font>
    <font>
      <sz val="11"/>
      <color theme="0"/>
      <name val="Calibri"/>
      <family val="2"/>
      <scheme val="minor"/>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sz val="11"/>
      <color rgb="FF000000"/>
      <name val="Calibri"/>
      <family val="2"/>
      <charset val="1"/>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sz val="16"/>
      <color theme="0"/>
      <name val="Calibri"/>
      <family val="2"/>
      <scheme val="minor"/>
    </font>
    <font>
      <b/>
      <sz val="12"/>
      <color theme="1"/>
      <name val="Calibri"/>
      <family val="2"/>
      <scheme val="minor"/>
    </font>
    <font>
      <sz val="10"/>
      <color rgb="FFFFFF99"/>
      <name val="Arial"/>
      <family val="2"/>
    </font>
  </fonts>
  <fills count="3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F4BF3D"/>
        <bgColor indexed="64"/>
      </patternFill>
    </fill>
    <fill>
      <patternFill patternType="solid">
        <fgColor rgb="FF5DB6E2"/>
        <bgColor indexed="64"/>
      </patternFill>
    </fill>
    <fill>
      <patternFill patternType="solid">
        <fgColor rgb="FFF28350"/>
        <bgColor indexed="64"/>
      </patternFill>
    </fill>
    <fill>
      <patternFill patternType="solid">
        <fgColor rgb="FF60BB60"/>
        <bgColor indexed="64"/>
      </patternFill>
    </fill>
    <fill>
      <patternFill patternType="solid">
        <fgColor rgb="FFE04343"/>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CCFF99"/>
        <bgColor indexed="64"/>
      </patternFill>
    </fill>
    <fill>
      <patternFill patternType="solid">
        <fgColor rgb="FF66CCFF"/>
        <bgColor indexed="64"/>
      </patternFill>
    </fill>
    <fill>
      <patternFill patternType="solid">
        <fgColor rgb="FF339966"/>
        <bgColor indexed="64"/>
      </patternFill>
    </fill>
    <fill>
      <patternFill patternType="solid">
        <fgColor rgb="FF7030A0"/>
        <bgColor indexed="64"/>
      </patternFill>
    </fill>
    <fill>
      <patternFill patternType="solid">
        <fgColor rgb="FFFFCCCC"/>
        <bgColor indexed="64"/>
      </patternFill>
    </fill>
    <fill>
      <patternFill patternType="solid">
        <fgColor rgb="FFCC0000"/>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ck">
        <color rgb="FF0070C0"/>
      </left>
      <right style="thick">
        <color rgb="FF0070C0"/>
      </right>
      <top/>
      <bottom style="thick">
        <color rgb="FF0070C0"/>
      </bottom>
      <diagonal/>
    </border>
    <border>
      <left/>
      <right style="thick">
        <color rgb="FF0070C0"/>
      </right>
      <top/>
      <bottom style="thick">
        <color rgb="FF0070C0"/>
      </bottom>
      <diagonal/>
    </border>
    <border>
      <left style="thick">
        <color rgb="FF0070C0"/>
      </left>
      <right/>
      <top/>
      <bottom style="thick">
        <color rgb="FF0070C0"/>
      </bottom>
      <diagonal/>
    </border>
    <border>
      <left/>
      <right/>
      <top/>
      <bottom style="thick">
        <color rgb="FF0070C0"/>
      </bottom>
      <diagonal/>
    </border>
    <border>
      <left/>
      <right/>
      <top/>
      <bottom style="medium">
        <color rgb="FF0070C0"/>
      </bottom>
      <diagonal/>
    </border>
    <border>
      <left style="medium">
        <color rgb="FF0070C0"/>
      </left>
      <right/>
      <top/>
      <bottom style="medium">
        <color rgb="FF0070C0"/>
      </bottom>
      <diagonal/>
    </border>
    <border>
      <left style="thick">
        <color rgb="FF0070C0"/>
      </left>
      <right style="thick">
        <color rgb="FF0070C0"/>
      </right>
      <top/>
      <bottom/>
      <diagonal/>
    </border>
    <border>
      <left/>
      <right style="thick">
        <color rgb="FF0070C0"/>
      </right>
      <top/>
      <bottom/>
      <diagonal/>
    </border>
    <border>
      <left style="thick">
        <color rgb="FF0070C0"/>
      </left>
      <right/>
      <top/>
      <bottom/>
      <diagonal/>
    </border>
    <border>
      <left style="medium">
        <color rgb="FF0070C0"/>
      </left>
      <right/>
      <top/>
      <bottom/>
      <diagonal/>
    </border>
    <border>
      <left style="thick">
        <color rgb="FF0070C0"/>
      </left>
      <right style="thick">
        <color rgb="FF0070C0"/>
      </right>
      <top style="thick">
        <color rgb="FF0070C0"/>
      </top>
      <bottom/>
      <diagonal/>
    </border>
    <border>
      <left/>
      <right style="thick">
        <color rgb="FF0070C0"/>
      </right>
      <top style="thick">
        <color rgb="FF0070C0"/>
      </top>
      <bottom/>
      <diagonal/>
    </border>
    <border>
      <left style="thick">
        <color rgb="FF0070C0"/>
      </left>
      <right/>
      <top style="thick">
        <color rgb="FF0070C0"/>
      </top>
      <bottom/>
      <diagonal/>
    </border>
    <border>
      <left/>
      <right/>
      <top style="thick">
        <color rgb="FF0070C0"/>
      </top>
      <bottom/>
      <diagonal/>
    </border>
    <border>
      <left/>
      <right/>
      <top style="medium">
        <color rgb="FF0070C0"/>
      </top>
      <bottom/>
      <diagonal/>
    </border>
    <border>
      <left style="medium">
        <color rgb="FF0070C0"/>
      </left>
      <right/>
      <top style="medium">
        <color rgb="FF0070C0"/>
      </top>
      <bottom/>
      <diagonal/>
    </border>
    <border>
      <left style="thin">
        <color auto="1"/>
      </left>
      <right style="thick">
        <color rgb="FF0070C0"/>
      </right>
      <top style="thin">
        <color auto="1"/>
      </top>
      <bottom style="thick">
        <color rgb="FF0070C0"/>
      </bottom>
      <diagonal/>
    </border>
    <border>
      <left style="thin">
        <color auto="1"/>
      </left>
      <right style="thin">
        <color auto="1"/>
      </right>
      <top style="thin">
        <color auto="1"/>
      </top>
      <bottom style="thick">
        <color rgb="FF0070C0"/>
      </bottom>
      <diagonal/>
    </border>
    <border>
      <left style="thick">
        <color rgb="FF0070C0"/>
      </left>
      <right style="thin">
        <color auto="1"/>
      </right>
      <top style="thin">
        <color auto="1"/>
      </top>
      <bottom style="thick">
        <color rgb="FF0070C0"/>
      </bottom>
      <diagonal/>
    </border>
    <border>
      <left style="thin">
        <color auto="1"/>
      </left>
      <right style="thick">
        <color rgb="FF0070C0"/>
      </right>
      <top style="thin">
        <color auto="1"/>
      </top>
      <bottom style="thin">
        <color auto="1"/>
      </bottom>
      <diagonal/>
    </border>
    <border>
      <left style="thick">
        <color rgb="FF0070C0"/>
      </left>
      <right style="thin">
        <color auto="1"/>
      </right>
      <top style="thin">
        <color auto="1"/>
      </top>
      <bottom style="thin">
        <color auto="1"/>
      </bottom>
      <diagonal/>
    </border>
    <border>
      <left/>
      <right style="thick">
        <color rgb="FF0070C0"/>
      </right>
      <top style="thin">
        <color indexed="64"/>
      </top>
      <bottom style="thin">
        <color indexed="64"/>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diagonal/>
    </border>
    <border>
      <left style="thin">
        <color indexed="64"/>
      </left>
      <right style="thick">
        <color rgb="FF0070C0"/>
      </right>
      <top/>
      <bottom style="thin">
        <color indexed="64"/>
      </bottom>
      <diagonal/>
    </border>
    <border>
      <left/>
      <right style="thick">
        <color rgb="FF0070C0"/>
      </right>
      <top style="thick">
        <color rgb="FF0070C0"/>
      </top>
      <bottom style="thin">
        <color indexed="64"/>
      </bottom>
      <diagonal/>
    </border>
    <border>
      <left/>
      <right/>
      <top style="thick">
        <color rgb="FF0070C0"/>
      </top>
      <bottom style="thin">
        <color indexed="64"/>
      </bottom>
      <diagonal/>
    </border>
    <border>
      <left style="thick">
        <color rgb="FF0070C0"/>
      </left>
      <right/>
      <top style="thick">
        <color rgb="FF0070C0"/>
      </top>
      <bottom style="thin">
        <color indexed="64"/>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style="thick">
        <color indexed="64"/>
      </left>
      <right/>
      <top/>
      <bottom/>
      <diagonal/>
    </border>
  </borders>
  <cellStyleXfs count="11">
    <xf numFmtId="0" fontId="0" fillId="0" borderId="0"/>
    <xf numFmtId="0" fontId="5" fillId="0" borderId="0"/>
    <xf numFmtId="0" fontId="4" fillId="0" borderId="0"/>
    <xf numFmtId="0" fontId="3" fillId="0" borderId="0"/>
    <xf numFmtId="9" fontId="5" fillId="0" borderId="0" applyFont="0" applyFill="0" applyBorder="0" applyAlignment="0" applyProtection="0"/>
    <xf numFmtId="0" fontId="48" fillId="0" borderId="0" applyNumberFormat="0" applyFill="0" applyBorder="0" applyAlignment="0" applyProtection="0"/>
    <xf numFmtId="0" fontId="2" fillId="0" borderId="0"/>
    <xf numFmtId="0" fontId="1" fillId="0" borderId="0"/>
    <xf numFmtId="9" fontId="91" fillId="0" borderId="0" applyBorder="0" applyProtection="0"/>
    <xf numFmtId="167" fontId="91" fillId="0" borderId="0" applyBorder="0" applyProtection="0"/>
    <xf numFmtId="0" fontId="91" fillId="0" borderId="0"/>
  </cellStyleXfs>
  <cellXfs count="1079">
    <xf numFmtId="0" fontId="0" fillId="0" borderId="0" xfId="0"/>
    <xf numFmtId="0" fontId="11" fillId="0" borderId="0" xfId="0" applyFont="1" applyFill="1" applyBorder="1" applyAlignment="1" applyProtection="1">
      <alignment horizontal="left"/>
      <protection locked="0"/>
    </xf>
    <xf numFmtId="0" fontId="6" fillId="0" borderId="0" xfId="0" applyFont="1"/>
    <xf numFmtId="0" fontId="6" fillId="0" borderId="0" xfId="0" applyFont="1" applyAlignment="1">
      <alignment horizontal="center"/>
    </xf>
    <xf numFmtId="0" fontId="6" fillId="0" borderId="0" xfId="0" applyFont="1" applyFill="1"/>
    <xf numFmtId="0" fontId="6" fillId="0" borderId="0" xfId="0" applyFont="1" applyFill="1" applyBorder="1" applyAlignment="1">
      <alignment horizontal="center" textRotation="90"/>
    </xf>
    <xf numFmtId="0" fontId="6" fillId="0" borderId="0" xfId="0" applyFont="1" applyAlignment="1">
      <alignment vertical="center"/>
    </xf>
    <xf numFmtId="0" fontId="6" fillId="0" borderId="0" xfId="0" applyFont="1" applyAlignment="1">
      <alignment horizontal="right" vertical="center"/>
    </xf>
    <xf numFmtId="0" fontId="15" fillId="0" borderId="0" xfId="0" applyFont="1" applyAlignment="1">
      <alignment vertical="center"/>
    </xf>
    <xf numFmtId="0" fontId="16" fillId="0" borderId="0" xfId="0" applyFont="1" applyAlignment="1">
      <alignment horizontal="center" vertical="center"/>
    </xf>
    <xf numFmtId="0" fontId="0" fillId="0" borderId="0" xfId="0" applyAlignment="1">
      <alignment horizontal="left" vertical="center"/>
    </xf>
    <xf numFmtId="0" fontId="6" fillId="0" borderId="0" xfId="0" applyFont="1" applyBorder="1" applyAlignment="1">
      <alignment horizontal="center" textRotation="90"/>
    </xf>
    <xf numFmtId="0" fontId="0" fillId="0" borderId="0" xfId="0" applyBorder="1" applyAlignment="1" applyProtection="1">
      <alignment horizontal="center" vertical="center"/>
    </xf>
    <xf numFmtId="0" fontId="8" fillId="0" borderId="0" xfId="0" applyFont="1" applyAlignment="1">
      <alignment horizontal="right" vertical="center"/>
    </xf>
    <xf numFmtId="164" fontId="0" fillId="0" borderId="0" xfId="0" applyNumberFormat="1" applyFill="1" applyBorder="1" applyAlignment="1">
      <alignment horizontal="center" vertical="center"/>
    </xf>
    <xf numFmtId="0" fontId="6" fillId="0" borderId="0" xfId="0" applyFont="1" applyAlignment="1">
      <alignment horizontal="center" textRotation="90"/>
    </xf>
    <xf numFmtId="14" fontId="6" fillId="0" borderId="0" xfId="0" applyNumberFormat="1" applyFont="1" applyAlignment="1">
      <alignment horizontal="left" textRotation="90"/>
    </xf>
    <xf numFmtId="0" fontId="6" fillId="0" borderId="0" xfId="0" applyFont="1" applyAlignment="1">
      <alignment horizontal="left" textRotation="90"/>
    </xf>
    <xf numFmtId="0" fontId="15" fillId="0" borderId="0" xfId="0" applyFont="1" applyAlignment="1"/>
    <xf numFmtId="14" fontId="5" fillId="0" borderId="1" xfId="0" applyNumberFormat="1" applyFont="1" applyBorder="1" applyAlignment="1" applyProtection="1">
      <alignment textRotation="60"/>
      <protection locked="0"/>
    </xf>
    <xf numFmtId="0" fontId="6" fillId="0" borderId="0" xfId="0" applyFont="1" applyFill="1" applyBorder="1" applyAlignment="1">
      <alignment horizontal="center"/>
    </xf>
    <xf numFmtId="0" fontId="8" fillId="0" borderId="0" xfId="0" applyFont="1" applyFill="1" applyBorder="1" applyAlignment="1">
      <alignment horizontal="center" textRotation="90"/>
    </xf>
    <xf numFmtId="0" fontId="5" fillId="0" borderId="0" xfId="0" applyFont="1" applyFill="1" applyBorder="1" applyAlignment="1">
      <alignment vertical="center"/>
    </xf>
    <xf numFmtId="0" fontId="6" fillId="0" borderId="0" xfId="0" applyFont="1" applyFill="1" applyBorder="1" applyAlignment="1">
      <alignment horizontal="right" vertical="center"/>
    </xf>
    <xf numFmtId="0" fontId="6" fillId="0" borderId="0" xfId="0" applyFont="1" applyFill="1" applyBorder="1"/>
    <xf numFmtId="164" fontId="6" fillId="0" borderId="0" xfId="0" applyNumberFormat="1" applyFont="1" applyFill="1" applyBorder="1" applyAlignment="1" applyProtection="1">
      <alignment horizontal="center" vertical="center"/>
      <protection locked="0"/>
    </xf>
    <xf numFmtId="1" fontId="20" fillId="0" borderId="0" xfId="0" applyNumberFormat="1" applyFont="1" applyFill="1" applyAlignment="1">
      <alignment horizontal="right" vertical="center"/>
    </xf>
    <xf numFmtId="1" fontId="20" fillId="0" borderId="0" xfId="0" applyNumberFormat="1" applyFont="1" applyAlignment="1">
      <alignment horizontal="right" vertical="center"/>
    </xf>
    <xf numFmtId="1" fontId="20" fillId="0" borderId="0" xfId="0" applyNumberFormat="1" applyFont="1" applyAlignment="1">
      <alignment horizontal="right" textRotation="90"/>
    </xf>
    <xf numFmtId="164" fontId="0" fillId="5" borderId="25" xfId="0" applyNumberFormat="1" applyFill="1" applyBorder="1" applyAlignment="1" applyProtection="1">
      <alignment horizontal="center" vertical="center"/>
      <protection locked="0"/>
    </xf>
    <xf numFmtId="164" fontId="5" fillId="5" borderId="25" xfId="0" applyNumberFormat="1" applyFont="1" applyFill="1" applyBorder="1" applyAlignment="1" applyProtection="1">
      <alignment horizontal="center" vertical="center"/>
      <protection locked="0"/>
    </xf>
    <xf numFmtId="0" fontId="23" fillId="0" borderId="0" xfId="0" applyFont="1"/>
    <xf numFmtId="0" fontId="26" fillId="0" borderId="0" xfId="0" applyFont="1" applyAlignment="1">
      <alignment vertical="center"/>
    </xf>
    <xf numFmtId="0" fontId="26" fillId="0" borderId="0" xfId="0" applyFont="1" applyAlignment="1">
      <alignment horizontal="left" vertical="center" indent="4"/>
    </xf>
    <xf numFmtId="0" fontId="26" fillId="0" borderId="0" xfId="0" applyFont="1" applyAlignment="1">
      <alignment horizontal="left" vertical="center" indent="11"/>
    </xf>
    <xf numFmtId="0" fontId="29" fillId="0" borderId="0" xfId="0" applyFont="1" applyAlignment="1">
      <alignment horizontal="left" vertical="center" indent="4"/>
    </xf>
    <xf numFmtId="0" fontId="29" fillId="0" borderId="0" xfId="0" applyFont="1" applyAlignment="1">
      <alignment horizontal="left" vertical="center" indent="2"/>
    </xf>
    <xf numFmtId="0" fontId="29" fillId="0" borderId="0" xfId="0" applyFont="1" applyAlignment="1">
      <alignment vertical="center"/>
    </xf>
    <xf numFmtId="0" fontId="30" fillId="0" borderId="0" xfId="0" applyFont="1" applyAlignment="1">
      <alignment vertical="center"/>
    </xf>
    <xf numFmtId="0" fontId="23" fillId="0" borderId="0" xfId="0" applyFont="1" applyAlignment="1">
      <alignment vertical="top"/>
    </xf>
    <xf numFmtId="164" fontId="22" fillId="8" borderId="25" xfId="0" applyNumberFormat="1" applyFont="1" applyFill="1" applyBorder="1" applyAlignment="1" applyProtection="1">
      <alignment horizontal="center" vertical="center" wrapText="1"/>
      <protection locked="0"/>
    </xf>
    <xf numFmtId="164" fontId="22" fillId="9" borderId="25" xfId="0" applyNumberFormat="1" applyFont="1" applyFill="1" applyBorder="1" applyAlignment="1" applyProtection="1">
      <alignment horizontal="center" vertical="center" wrapText="1"/>
      <protection locked="0"/>
    </xf>
    <xf numFmtId="164" fontId="22" fillId="7" borderId="25" xfId="0" applyNumberFormat="1" applyFont="1" applyFill="1" applyBorder="1" applyAlignment="1" applyProtection="1">
      <alignment horizontal="center" vertical="center" wrapText="1"/>
      <protection locked="0"/>
    </xf>
    <xf numFmtId="164" fontId="22" fillId="10" borderId="25" xfId="0" applyNumberFormat="1" applyFont="1" applyFill="1" applyBorder="1" applyAlignment="1" applyProtection="1">
      <alignment horizontal="center" vertical="center" wrapText="1"/>
      <protection locked="0"/>
    </xf>
    <xf numFmtId="164" fontId="22" fillId="11" borderId="25" xfId="0" applyNumberFormat="1" applyFont="1" applyFill="1" applyBorder="1" applyAlignment="1" applyProtection="1">
      <alignment horizontal="center" vertical="center" wrapText="1"/>
      <protection locked="0"/>
    </xf>
    <xf numFmtId="0" fontId="32" fillId="0" borderId="0" xfId="0" applyFont="1"/>
    <xf numFmtId="0" fontId="32" fillId="0" borderId="0" xfId="0" applyFont="1" applyAlignment="1">
      <alignment horizontal="center" vertical="center"/>
    </xf>
    <xf numFmtId="0" fontId="32" fillId="0" borderId="0" xfId="0" applyFont="1" applyBorder="1" applyAlignment="1" applyProtection="1">
      <alignment horizontal="center"/>
    </xf>
    <xf numFmtId="0" fontId="6" fillId="0" borderId="25" xfId="0" applyFont="1" applyBorder="1" applyAlignment="1">
      <alignment horizontal="right" vertical="center"/>
    </xf>
    <xf numFmtId="0" fontId="6" fillId="0" borderId="25" xfId="0" applyFont="1" applyBorder="1" applyAlignment="1"/>
    <xf numFmtId="0" fontId="6" fillId="0" borderId="25" xfId="0" applyFont="1" applyBorder="1" applyAlignment="1">
      <alignment horizontal="center" textRotation="90"/>
    </xf>
    <xf numFmtId="0" fontId="0" fillId="0" borderId="25" xfId="0" applyBorder="1" applyAlignment="1">
      <alignment horizontal="center" vertical="center"/>
    </xf>
    <xf numFmtId="0" fontId="6" fillId="0" borderId="25" xfId="0" applyFont="1" applyFill="1" applyBorder="1" applyAlignment="1" applyProtection="1">
      <alignment horizontal="left" vertical="center"/>
    </xf>
    <xf numFmtId="0" fontId="8" fillId="0" borderId="25" xfId="0" applyFont="1" applyFill="1" applyBorder="1" applyAlignment="1">
      <alignment horizontal="center" textRotation="90"/>
    </xf>
    <xf numFmtId="164" fontId="0" fillId="4" borderId="25" xfId="0" applyNumberFormat="1" applyFill="1" applyBorder="1" applyAlignment="1">
      <alignment horizontal="center" vertical="center"/>
    </xf>
    <xf numFmtId="0" fontId="32" fillId="0" borderId="0" xfId="0" applyFont="1" applyFill="1" applyBorder="1"/>
    <xf numFmtId="0" fontId="0" fillId="0" borderId="0" xfId="0" applyAlignment="1">
      <alignment horizontal="center" vertical="center"/>
    </xf>
    <xf numFmtId="0" fontId="16" fillId="0" borderId="0" xfId="0" applyFont="1" applyFill="1" applyBorder="1" applyAlignment="1" applyProtection="1">
      <alignment horizontal="center"/>
      <protection locked="0"/>
    </xf>
    <xf numFmtId="0" fontId="33" fillId="0" borderId="0" xfId="1" applyFont="1"/>
    <xf numFmtId="0" fontId="13" fillId="0" borderId="0" xfId="1" applyFont="1"/>
    <xf numFmtId="0" fontId="13" fillId="0" borderId="0" xfId="1" applyFont="1" applyAlignment="1">
      <alignment horizontal="left"/>
    </xf>
    <xf numFmtId="0" fontId="34" fillId="0" borderId="0" xfId="1" applyFont="1"/>
    <xf numFmtId="0" fontId="34" fillId="0" borderId="0" xfId="1" applyFont="1" applyBorder="1" applyAlignment="1">
      <alignment horizontal="center"/>
    </xf>
    <xf numFmtId="0" fontId="34" fillId="0" borderId="0" xfId="1" applyFont="1" applyAlignment="1">
      <alignment horizontal="center"/>
    </xf>
    <xf numFmtId="9" fontId="34" fillId="0" borderId="0" xfId="1" applyNumberFormat="1" applyFont="1" applyAlignment="1">
      <alignment horizontal="center"/>
    </xf>
    <xf numFmtId="9" fontId="34" fillId="0" borderId="0" xfId="1" applyNumberFormat="1" applyFont="1"/>
    <xf numFmtId="0" fontId="13" fillId="0" borderId="0" xfId="1" applyFont="1" applyBorder="1"/>
    <xf numFmtId="0" fontId="13" fillId="0" borderId="0" xfId="1" applyFont="1" applyBorder="1" applyAlignment="1">
      <alignment horizontal="left"/>
    </xf>
    <xf numFmtId="0" fontId="13" fillId="0" borderId="0" xfId="1" applyFont="1" applyFill="1"/>
    <xf numFmtId="0" fontId="34" fillId="0" borderId="0" xfId="1" applyFont="1" applyFill="1" applyBorder="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32" fillId="0" borderId="0" xfId="0" applyFont="1" applyFill="1" applyBorder="1" applyAlignment="1" applyProtection="1">
      <alignment vertical="top" wrapText="1"/>
      <protection locked="0"/>
    </xf>
    <xf numFmtId="9" fontId="32" fillId="0" borderId="0" xfId="0" applyNumberFormat="1" applyFont="1" applyFill="1" applyBorder="1" applyAlignment="1">
      <alignment vertical="center" textRotation="90"/>
    </xf>
    <xf numFmtId="0" fontId="32" fillId="6" borderId="10" xfId="0" applyNumberFormat="1" applyFont="1" applyFill="1" applyBorder="1" applyAlignment="1" applyProtection="1">
      <alignment vertical="top" wrapText="1"/>
      <protection locked="0"/>
    </xf>
    <xf numFmtId="0" fontId="32" fillId="6" borderId="23" xfId="0" applyNumberFormat="1" applyFont="1" applyFill="1" applyBorder="1" applyAlignment="1" applyProtection="1">
      <alignment vertical="top" wrapText="1"/>
      <protection locked="0"/>
    </xf>
    <xf numFmtId="0" fontId="32" fillId="6" borderId="24" xfId="0" applyNumberFormat="1" applyFont="1" applyFill="1" applyBorder="1" applyAlignment="1" applyProtection="1">
      <alignment vertical="top" wrapText="1"/>
      <protection locked="0"/>
    </xf>
    <xf numFmtId="0" fontId="32" fillId="0" borderId="0" xfId="0" applyNumberFormat="1" applyFont="1" applyFill="1" applyBorder="1" applyAlignment="1" applyProtection="1">
      <alignment vertical="top" wrapText="1"/>
      <protection locked="0"/>
    </xf>
    <xf numFmtId="0" fontId="32" fillId="0" borderId="0" xfId="0" applyFont="1" applyFill="1" applyBorder="1" applyAlignment="1">
      <alignment vertical="center"/>
    </xf>
    <xf numFmtId="0" fontId="14" fillId="0" borderId="0" xfId="1" applyFont="1" applyProtection="1"/>
    <xf numFmtId="0" fontId="16" fillId="0" borderId="0" xfId="1" applyFont="1" applyAlignment="1" applyProtection="1">
      <alignment horizontal="center" vertical="center"/>
    </xf>
    <xf numFmtId="0" fontId="16" fillId="0" borderId="19" xfId="1" applyFont="1" applyBorder="1" applyAlignment="1" applyProtection="1">
      <alignment horizontal="center"/>
    </xf>
    <xf numFmtId="0" fontId="16" fillId="0" borderId="0" xfId="1" applyFont="1" applyAlignment="1" applyProtection="1">
      <alignment horizontal="center"/>
    </xf>
    <xf numFmtId="0" fontId="5" fillId="0" borderId="0" xfId="1" applyProtection="1"/>
    <xf numFmtId="0" fontId="5" fillId="0" borderId="0" xfId="1" applyAlignment="1" applyProtection="1">
      <alignment horizontal="right"/>
    </xf>
    <xf numFmtId="0" fontId="5" fillId="0" borderId="0" xfId="1" applyBorder="1" applyAlignment="1" applyProtection="1">
      <alignment horizontal="center" vertical="center"/>
    </xf>
    <xf numFmtId="0" fontId="5" fillId="0" borderId="0" xfId="1" applyAlignment="1" applyProtection="1">
      <alignment horizontal="center" vertical="center"/>
    </xf>
    <xf numFmtId="0" fontId="5" fillId="0" borderId="0" xfId="1" applyFont="1" applyProtection="1"/>
    <xf numFmtId="0" fontId="5" fillId="0" borderId="0" xfId="1" applyAlignment="1" applyProtection="1">
      <alignment horizontal="center"/>
    </xf>
    <xf numFmtId="1" fontId="5" fillId="0" borderId="0" xfId="1" applyNumberFormat="1" applyFont="1" applyFill="1" applyBorder="1" applyAlignment="1" applyProtection="1">
      <alignment horizontal="center"/>
    </xf>
    <xf numFmtId="0" fontId="5" fillId="0" borderId="0" xfId="1" applyFill="1" applyAlignment="1" applyProtection="1">
      <alignment horizontal="center" vertical="center"/>
    </xf>
    <xf numFmtId="0" fontId="5" fillId="0" borderId="0" xfId="1" applyFill="1" applyBorder="1" applyAlignment="1" applyProtection="1">
      <alignment horizontal="left"/>
    </xf>
    <xf numFmtId="0" fontId="5" fillId="0" borderId="0" xfId="1" applyFill="1" applyAlignment="1" applyProtection="1">
      <alignment horizontal="center"/>
    </xf>
    <xf numFmtId="1" fontId="5" fillId="0" borderId="0" xfId="1" applyNumberFormat="1" applyFont="1" applyFill="1" applyBorder="1" applyAlignment="1" applyProtection="1">
      <alignment horizontal="left" textRotation="90"/>
    </xf>
    <xf numFmtId="0" fontId="5" fillId="0" borderId="2" xfId="1" applyFont="1" applyBorder="1" applyAlignment="1">
      <alignment horizontal="right" vertical="center"/>
    </xf>
    <xf numFmtId="0" fontId="5" fillId="0" borderId="3" xfId="1" applyFont="1" applyBorder="1" applyAlignment="1"/>
    <xf numFmtId="0" fontId="5" fillId="0" borderId="2" xfId="1" applyFont="1" applyBorder="1" applyAlignment="1">
      <alignment horizontal="center" textRotation="90"/>
    </xf>
    <xf numFmtId="0" fontId="5" fillId="0" borderId="9" xfId="1" applyFont="1" applyBorder="1" applyAlignment="1">
      <alignment horizontal="center" textRotation="90"/>
    </xf>
    <xf numFmtId="0" fontId="5" fillId="0" borderId="21" xfId="1" applyFont="1" applyBorder="1" applyAlignment="1">
      <alignment horizontal="center" textRotation="90"/>
    </xf>
    <xf numFmtId="0" fontId="5" fillId="0" borderId="29" xfId="1" applyFont="1" applyFill="1" applyBorder="1" applyAlignment="1">
      <alignment horizontal="center" textRotation="90"/>
    </xf>
    <xf numFmtId="0" fontId="5" fillId="3" borderId="22" xfId="1" applyFont="1" applyFill="1" applyBorder="1" applyAlignment="1" applyProtection="1">
      <alignment horizontal="center" textRotation="90"/>
      <protection locked="0"/>
    </xf>
    <xf numFmtId="0" fontId="5" fillId="0" borderId="30" xfId="1" applyFont="1" applyBorder="1" applyAlignment="1">
      <alignment horizontal="center" textRotation="90"/>
    </xf>
    <xf numFmtId="0" fontId="5" fillId="0" borderId="0" xfId="1" applyFont="1" applyFill="1" applyBorder="1" applyAlignment="1" applyProtection="1">
      <alignment horizontal="center"/>
    </xf>
    <xf numFmtId="0" fontId="5" fillId="0" borderId="0" xfId="1" applyFill="1" applyProtection="1"/>
    <xf numFmtId="0" fontId="9" fillId="18" borderId="31" xfId="1" applyFont="1" applyFill="1" applyBorder="1" applyAlignment="1" applyProtection="1">
      <alignment horizontal="center"/>
    </xf>
    <xf numFmtId="1" fontId="20" fillId="0" borderId="0" xfId="1" applyNumberFormat="1" applyFont="1" applyFill="1" applyBorder="1" applyAlignment="1" applyProtection="1">
      <alignment horizontal="center" vertical="center"/>
      <protection locked="0"/>
    </xf>
    <xf numFmtId="0" fontId="5" fillId="0" borderId="4" xfId="1" applyBorder="1" applyAlignment="1" applyProtection="1">
      <alignment horizontal="center" vertical="center"/>
    </xf>
    <xf numFmtId="0" fontId="5" fillId="0" borderId="11" xfId="1" applyFont="1" applyFill="1" applyBorder="1" applyAlignment="1" applyProtection="1">
      <alignment horizontal="left" vertical="center"/>
    </xf>
    <xf numFmtId="164" fontId="5" fillId="0" borderId="4" xfId="1" applyNumberFormat="1" applyFill="1" applyBorder="1" applyAlignment="1" applyProtection="1">
      <alignment horizontal="center" vertical="center"/>
    </xf>
    <xf numFmtId="164" fontId="5" fillId="4" borderId="25" xfId="1" applyNumberFormat="1" applyFill="1" applyBorder="1" applyAlignment="1" applyProtection="1">
      <alignment horizontal="center" vertical="center"/>
    </xf>
    <xf numFmtId="164" fontId="5" fillId="4" borderId="7" xfId="1" applyNumberFormat="1" applyFill="1" applyBorder="1" applyAlignment="1">
      <alignment horizontal="center" vertical="center"/>
    </xf>
    <xf numFmtId="164" fontId="5" fillId="4" borderId="25" xfId="1" applyNumberFormat="1" applyFont="1" applyFill="1" applyBorder="1" applyAlignment="1" applyProtection="1">
      <alignment horizontal="center" vertical="center"/>
      <protection locked="0"/>
    </xf>
    <xf numFmtId="0" fontId="17" fillId="0" borderId="0" xfId="1" applyFont="1" applyFill="1" applyBorder="1" applyAlignment="1" applyProtection="1">
      <alignment horizontal="center" vertical="center"/>
      <protection locked="0"/>
    </xf>
    <xf numFmtId="0" fontId="5" fillId="0" borderId="0" xfId="1" applyFill="1" applyBorder="1" applyAlignment="1" applyProtection="1">
      <alignment horizontal="center"/>
      <protection locked="0"/>
    </xf>
    <xf numFmtId="0" fontId="9" fillId="18" borderId="34" xfId="1" applyFont="1" applyFill="1" applyBorder="1" applyAlignment="1" applyProtection="1">
      <alignment horizontal="center" vertical="justify"/>
    </xf>
    <xf numFmtId="0" fontId="5" fillId="0" borderId="0" xfId="1" applyAlignment="1" applyProtection="1">
      <alignment vertical="center"/>
    </xf>
    <xf numFmtId="0" fontId="5" fillId="0" borderId="0" xfId="1" applyFont="1" applyAlignment="1" applyProtection="1">
      <alignment horizontal="center" vertical="center"/>
      <protection locked="0"/>
    </xf>
    <xf numFmtId="0" fontId="5" fillId="2" borderId="25" xfId="1" applyFont="1" applyFill="1" applyBorder="1" applyAlignment="1" applyProtection="1">
      <alignment horizontal="left" vertical="center"/>
      <protection locked="0"/>
    </xf>
    <xf numFmtId="1" fontId="35" fillId="0" borderId="0" xfId="1" applyNumberFormat="1" applyFont="1" applyFill="1" applyBorder="1" applyAlignment="1" applyProtection="1">
      <alignment horizontal="center" vertical="center"/>
    </xf>
    <xf numFmtId="164" fontId="5" fillId="5" borderId="25" xfId="1" applyNumberFormat="1" applyFill="1" applyBorder="1" applyAlignment="1" applyProtection="1">
      <alignment horizontal="center" vertical="center"/>
      <protection locked="0"/>
    </xf>
    <xf numFmtId="0" fontId="5" fillId="0" borderId="0" xfId="4" applyNumberFormat="1" applyFill="1" applyBorder="1" applyAlignment="1" applyProtection="1">
      <alignment horizontal="center"/>
    </xf>
    <xf numFmtId="0" fontId="20" fillId="0" borderId="0" xfId="1" applyNumberFormat="1" applyFont="1" applyFill="1" applyBorder="1" applyAlignment="1" applyProtection="1">
      <alignment horizontal="center" vertical="center"/>
    </xf>
    <xf numFmtId="0" fontId="5" fillId="5" borderId="26" xfId="1" applyFont="1" applyFill="1" applyBorder="1" applyAlignment="1" applyProtection="1">
      <alignment horizontal="center" vertical="center"/>
      <protection locked="0"/>
    </xf>
    <xf numFmtId="9" fontId="5" fillId="0" borderId="0" xfId="4" applyFill="1" applyBorder="1" applyAlignment="1" applyProtection="1">
      <alignment horizontal="center"/>
    </xf>
    <xf numFmtId="1" fontId="20" fillId="0" borderId="0" xfId="1" applyNumberFormat="1" applyFont="1" applyFill="1" applyBorder="1" applyAlignment="1" applyProtection="1">
      <alignment horizontal="center" vertical="center"/>
    </xf>
    <xf numFmtId="9" fontId="36" fillId="0" borderId="0" xfId="4" applyFont="1" applyFill="1" applyBorder="1" applyAlignment="1" applyProtection="1">
      <alignment horizontal="center"/>
    </xf>
    <xf numFmtId="0" fontId="5" fillId="0" borderId="0" xfId="1" applyFont="1" applyBorder="1" applyAlignment="1" applyProtection="1">
      <alignment horizontal="center"/>
    </xf>
    <xf numFmtId="0" fontId="5" fillId="0" borderId="0" xfId="1" applyFont="1" applyFill="1" applyProtection="1"/>
    <xf numFmtId="164" fontId="5" fillId="4" borderId="4" xfId="1" applyNumberFormat="1" applyFill="1" applyBorder="1" applyAlignment="1" applyProtection="1">
      <alignment horizontal="center" vertical="center"/>
      <protection locked="0"/>
    </xf>
    <xf numFmtId="0" fontId="5" fillId="0" borderId="0" xfId="1" applyFill="1" applyBorder="1" applyProtection="1"/>
    <xf numFmtId="0" fontId="5" fillId="0" borderId="0" xfId="1" applyFont="1" applyFill="1" applyBorder="1" applyAlignment="1" applyProtection="1"/>
    <xf numFmtId="0" fontId="8" fillId="0" borderId="0" xfId="1" applyFont="1" applyFill="1" applyBorder="1" applyAlignment="1" applyProtection="1">
      <alignment horizontal="right"/>
    </xf>
    <xf numFmtId="0" fontId="8" fillId="0" borderId="0" xfId="1" applyFont="1" applyAlignment="1" applyProtection="1">
      <alignment horizontal="right"/>
    </xf>
    <xf numFmtId="0" fontId="5" fillId="0" borderId="0" xfId="1" applyFont="1" applyFill="1" applyBorder="1" applyProtection="1"/>
    <xf numFmtId="164" fontId="5" fillId="4" borderId="25" xfId="1" applyNumberFormat="1" applyFill="1" applyBorder="1" applyAlignment="1" applyProtection="1">
      <alignment horizontal="center" vertical="center"/>
      <protection locked="0"/>
    </xf>
    <xf numFmtId="0" fontId="5" fillId="0" borderId="0" xfId="1" applyFill="1" applyBorder="1" applyAlignment="1" applyProtection="1">
      <alignment horizontal="center" vertical="center"/>
    </xf>
    <xf numFmtId="0" fontId="8" fillId="0" borderId="0" xfId="1" applyFont="1" applyFill="1" applyBorder="1" applyAlignment="1" applyProtection="1">
      <alignment horizontal="center" vertical="center"/>
    </xf>
    <xf numFmtId="164" fontId="5" fillId="0" borderId="4" xfId="1" applyNumberFormat="1" applyFill="1" applyBorder="1" applyAlignment="1" applyProtection="1">
      <alignment horizontal="center" vertical="center"/>
      <protection locked="0"/>
    </xf>
    <xf numFmtId="0" fontId="12" fillId="0" borderId="0" xfId="1" applyFont="1" applyFill="1" applyBorder="1" applyAlignment="1" applyProtection="1">
      <alignment horizontal="center"/>
    </xf>
    <xf numFmtId="0" fontId="12" fillId="0" borderId="0" xfId="1" applyFont="1" applyProtection="1"/>
    <xf numFmtId="0" fontId="10" fillId="0" borderId="0" xfId="1" applyFont="1" applyFill="1" applyBorder="1" applyAlignment="1" applyProtection="1">
      <alignment horizontal="center"/>
    </xf>
    <xf numFmtId="0" fontId="5" fillId="0" borderId="0" xfId="1" applyFill="1" applyBorder="1" applyAlignment="1" applyProtection="1"/>
    <xf numFmtId="0" fontId="5" fillId="0" borderId="5" xfId="1" applyBorder="1" applyAlignment="1" applyProtection="1">
      <alignment horizontal="center" vertical="center"/>
    </xf>
    <xf numFmtId="0" fontId="5" fillId="0" borderId="12" xfId="1" applyFont="1" applyFill="1" applyBorder="1" applyAlignment="1" applyProtection="1">
      <alignment horizontal="left" vertical="center"/>
    </xf>
    <xf numFmtId="164" fontId="5" fillId="0" borderId="5" xfId="1" applyNumberFormat="1" applyFill="1" applyBorder="1" applyAlignment="1" applyProtection="1">
      <alignment horizontal="center" vertical="center"/>
    </xf>
    <xf numFmtId="164" fontId="5" fillId="4" borderId="20" xfId="1" applyNumberFormat="1" applyFill="1" applyBorder="1" applyAlignment="1" applyProtection="1">
      <alignment horizontal="center" vertical="center"/>
    </xf>
    <xf numFmtId="164" fontId="5" fillId="4" borderId="8" xfId="1" applyNumberFormat="1" applyFill="1" applyBorder="1" applyAlignment="1">
      <alignment horizontal="center" vertical="center"/>
    </xf>
    <xf numFmtId="164" fontId="5" fillId="4" borderId="20" xfId="1" applyNumberFormat="1" applyFill="1" applyBorder="1" applyAlignment="1" applyProtection="1">
      <alignment horizontal="center" vertical="center"/>
      <protection locked="0"/>
    </xf>
    <xf numFmtId="0" fontId="5" fillId="0" borderId="0" xfId="1" applyAlignment="1" applyProtection="1"/>
    <xf numFmtId="0" fontId="8" fillId="0" borderId="0" xfId="1" applyFont="1" applyFill="1" applyAlignment="1" applyProtection="1">
      <alignment horizontal="center"/>
      <protection locked="0"/>
    </xf>
    <xf numFmtId="0" fontId="5" fillId="0" borderId="0" xfId="1" applyFont="1" applyFill="1" applyBorder="1" applyAlignment="1" applyProtection="1">
      <alignment vertical="top" readingOrder="1"/>
    </xf>
    <xf numFmtId="0" fontId="5" fillId="0" borderId="0" xfId="1" applyFill="1" applyAlignment="1" applyProtection="1">
      <alignment horizontal="right"/>
    </xf>
    <xf numFmtId="0" fontId="22" fillId="0" borderId="0" xfId="1" applyFont="1" applyFill="1" applyBorder="1" applyProtection="1"/>
    <xf numFmtId="0" fontId="22" fillId="0" borderId="0" xfId="1" applyFont="1" applyFill="1" applyAlignment="1" applyProtection="1">
      <alignment horizontal="center" vertical="center"/>
    </xf>
    <xf numFmtId="0" fontId="22" fillId="0" borderId="0" xfId="1" applyFont="1" applyAlignment="1" applyProtection="1">
      <alignment horizontal="center"/>
    </xf>
    <xf numFmtId="1" fontId="22" fillId="0" borderId="0" xfId="1" applyNumberFormat="1" applyFont="1" applyFill="1" applyBorder="1" applyAlignment="1" applyProtection="1">
      <alignment horizontal="center"/>
    </xf>
    <xf numFmtId="0" fontId="22" fillId="0" borderId="0" xfId="1" applyFont="1" applyFill="1" applyAlignment="1" applyProtection="1">
      <alignment horizontal="center"/>
    </xf>
    <xf numFmtId="0" fontId="5" fillId="0" borderId="0" xfId="1" applyFont="1" applyBorder="1" applyProtection="1"/>
    <xf numFmtId="0" fontId="8" fillId="0" borderId="0" xfId="1" applyFont="1" applyFill="1" applyBorder="1" applyAlignment="1" applyProtection="1">
      <alignment vertical="center"/>
    </xf>
    <xf numFmtId="0" fontId="24" fillId="0" borderId="0" xfId="1" applyFont="1" applyFill="1" applyBorder="1" applyAlignment="1" applyProtection="1">
      <alignment vertical="center"/>
    </xf>
    <xf numFmtId="0" fontId="25" fillId="0" borderId="0" xfId="1" applyFont="1" applyFill="1" applyBorder="1" applyAlignment="1" applyProtection="1">
      <alignment vertical="center"/>
    </xf>
    <xf numFmtId="0" fontId="22" fillId="0" borderId="0" xfId="1" applyFont="1" applyProtection="1"/>
    <xf numFmtId="1" fontId="22" fillId="0" borderId="0" xfId="1" applyNumberFormat="1" applyFont="1" applyFill="1" applyBorder="1" applyAlignment="1" applyProtection="1">
      <alignment horizontal="left"/>
    </xf>
    <xf numFmtId="49" fontId="22" fillId="0" borderId="0" xfId="1" applyNumberFormat="1" applyFont="1" applyFill="1" applyBorder="1" applyAlignment="1" applyProtection="1">
      <alignment vertical="top" wrapText="1"/>
      <protection locked="0"/>
    </xf>
    <xf numFmtId="0" fontId="22" fillId="0" borderId="0" xfId="1" applyFont="1" applyFill="1" applyBorder="1" applyAlignment="1" applyProtection="1">
      <alignment horizontal="center"/>
    </xf>
    <xf numFmtId="9" fontId="22" fillId="0" borderId="0" xfId="1" applyNumberFormat="1" applyFont="1" applyFill="1" applyBorder="1" applyProtection="1"/>
    <xf numFmtId="0" fontId="42" fillId="0" borderId="0" xfId="1" applyFont="1" applyFill="1" applyAlignment="1" applyProtection="1">
      <alignment horizontal="center" vertical="center"/>
    </xf>
    <xf numFmtId="0" fontId="41" fillId="0" borderId="0" xfId="1" applyFont="1" applyAlignment="1" applyProtection="1">
      <alignment horizontal="left"/>
    </xf>
    <xf numFmtId="0" fontId="41" fillId="0" borderId="0" xfId="1" applyFont="1" applyFill="1" applyAlignment="1" applyProtection="1">
      <alignment horizontal="center" vertical="center"/>
    </xf>
    <xf numFmtId="0" fontId="5" fillId="0" borderId="0" xfId="1" applyFill="1" applyBorder="1" applyAlignment="1"/>
    <xf numFmtId="0" fontId="5" fillId="0" borderId="0" xfId="1" applyFill="1" applyBorder="1" applyAlignment="1" applyProtection="1">
      <alignment horizontal="center" vertical="center"/>
      <protection locked="0"/>
    </xf>
    <xf numFmtId="0" fontId="20" fillId="0" borderId="0" xfId="1" applyFont="1" applyAlignment="1" applyProtection="1">
      <alignment horizontal="right"/>
    </xf>
    <xf numFmtId="0" fontId="37" fillId="0" borderId="0" xfId="1" applyFont="1" applyAlignment="1" applyProtection="1">
      <alignment horizontal="left"/>
    </xf>
    <xf numFmtId="0" fontId="16" fillId="3" borderId="0" xfId="0" applyNumberFormat="1" applyFont="1" applyFill="1" applyBorder="1" applyAlignment="1" applyProtection="1">
      <alignment horizontal="center"/>
      <protection locked="0"/>
    </xf>
    <xf numFmtId="0" fontId="16" fillId="0" borderId="0" xfId="0" applyFont="1" applyFill="1" applyBorder="1" applyAlignment="1">
      <alignment vertical="center" wrapText="1"/>
    </xf>
    <xf numFmtId="49" fontId="5" fillId="0" borderId="11" xfId="1" applyNumberFormat="1" applyFont="1" applyFill="1" applyBorder="1" applyAlignment="1" applyProtection="1">
      <alignment horizontal="left" vertical="center"/>
    </xf>
    <xf numFmtId="0" fontId="22" fillId="2" borderId="2" xfId="1" applyFont="1" applyFill="1" applyBorder="1" applyAlignment="1" applyProtection="1">
      <alignment horizontal="center" vertical="center"/>
      <protection locked="0"/>
    </xf>
    <xf numFmtId="0" fontId="22" fillId="2" borderId="4" xfId="1" applyFont="1" applyFill="1" applyBorder="1" applyAlignment="1" applyProtection="1">
      <alignment horizontal="center" vertical="center"/>
      <protection locked="0"/>
    </xf>
    <xf numFmtId="0" fontId="22" fillId="2" borderId="5" xfId="1" applyFont="1" applyFill="1" applyBorder="1" applyAlignment="1" applyProtection="1">
      <alignment horizontal="center" vertical="center"/>
      <protection locked="0"/>
    </xf>
    <xf numFmtId="0" fontId="41" fillId="0" borderId="0" xfId="1" applyFont="1" applyFill="1" applyAlignment="1" applyProtection="1">
      <alignment horizontal="left"/>
    </xf>
    <xf numFmtId="0" fontId="22" fillId="0" borderId="0" xfId="1" applyFont="1" applyFill="1" applyAlignment="1" applyProtection="1"/>
    <xf numFmtId="9" fontId="22" fillId="0" borderId="0" xfId="1" applyNumberFormat="1" applyFont="1" applyFill="1" applyAlignment="1" applyProtection="1">
      <alignment horizontal="center" vertical="center"/>
    </xf>
    <xf numFmtId="0" fontId="13" fillId="0" borderId="25" xfId="1" applyFont="1" applyBorder="1" applyAlignment="1">
      <alignment vertical="center"/>
    </xf>
    <xf numFmtId="0" fontId="13" fillId="0" borderId="25" xfId="1" applyFont="1" applyBorder="1" applyAlignment="1">
      <alignment horizontal="left" vertical="center"/>
    </xf>
    <xf numFmtId="0" fontId="22" fillId="0" borderId="0" xfId="0" applyFont="1" applyAlignment="1">
      <alignment horizontal="center"/>
    </xf>
    <xf numFmtId="0" fontId="5" fillId="0" borderId="0" xfId="1" applyFont="1"/>
    <xf numFmtId="0" fontId="21" fillId="0" borderId="0" xfId="1" applyFont="1" applyFill="1" applyBorder="1" applyAlignment="1" applyProtection="1">
      <alignment horizontal="center" vertical="center"/>
    </xf>
    <xf numFmtId="0" fontId="5" fillId="0" borderId="0" xfId="1" applyFont="1" applyFill="1" applyBorder="1" applyAlignment="1" applyProtection="1">
      <alignment vertical="top"/>
      <protection locked="0"/>
    </xf>
    <xf numFmtId="164" fontId="36" fillId="0" borderId="0" xfId="1" applyNumberFormat="1" applyFont="1" applyFill="1" applyBorder="1" applyAlignment="1" applyProtection="1">
      <alignment horizontal="center" vertical="center"/>
    </xf>
    <xf numFmtId="0" fontId="23" fillId="0" borderId="0" xfId="1" applyFont="1"/>
    <xf numFmtId="0" fontId="5" fillId="0" borderId="0" xfId="1"/>
    <xf numFmtId="14" fontId="5" fillId="0" borderId="25" xfId="0" applyNumberFormat="1" applyFont="1" applyBorder="1" applyAlignment="1" applyProtection="1">
      <alignment textRotation="60"/>
      <protection locked="0"/>
    </xf>
    <xf numFmtId="0" fontId="5" fillId="0" borderId="25" xfId="0" applyFont="1" applyBorder="1" applyAlignment="1">
      <alignment horizontal="center" textRotation="90"/>
    </xf>
    <xf numFmtId="0" fontId="49" fillId="0" borderId="0" xfId="1" applyFont="1"/>
    <xf numFmtId="0" fontId="49" fillId="0" borderId="0" xfId="1" applyFont="1" applyFill="1" applyBorder="1"/>
    <xf numFmtId="0" fontId="5" fillId="0" borderId="0" xfId="1" applyFill="1" applyBorder="1"/>
    <xf numFmtId="9" fontId="5" fillId="0" borderId="0" xfId="4" applyFont="1" applyFill="1" applyBorder="1" applyAlignment="1" applyProtection="1">
      <alignment horizontal="center" vertical="center" textRotation="90"/>
    </xf>
    <xf numFmtId="0" fontId="5" fillId="0" borderId="0" xfId="1" applyFill="1" applyBorder="1" applyAlignment="1" applyProtection="1">
      <protection locked="0"/>
    </xf>
    <xf numFmtId="0" fontId="5" fillId="0" borderId="0" xfId="1" applyNumberFormat="1" applyFont="1" applyFill="1" applyBorder="1" applyAlignment="1" applyProtection="1">
      <alignment vertical="top"/>
      <protection locked="0"/>
    </xf>
    <xf numFmtId="0" fontId="20" fillId="0" borderId="0" xfId="1" applyFont="1" applyFill="1" applyAlignment="1" applyProtection="1">
      <alignment horizontal="center"/>
    </xf>
    <xf numFmtId="0" fontId="20" fillId="0" borderId="0" xfId="1" applyFont="1" applyFill="1" applyAlignment="1" applyProtection="1">
      <alignment horizontal="center" vertical="center"/>
    </xf>
    <xf numFmtId="0" fontId="20" fillId="0" borderId="0" xfId="1" applyFont="1" applyFill="1" applyBorder="1" applyAlignment="1" applyProtection="1">
      <alignment vertical="center"/>
    </xf>
    <xf numFmtId="0" fontId="20" fillId="0" borderId="0" xfId="1" applyFont="1" applyFill="1" applyBorder="1" applyAlignment="1" applyProtection="1">
      <alignment horizontal="left"/>
    </xf>
    <xf numFmtId="0" fontId="20" fillId="0" borderId="0" xfId="1" applyFont="1" applyFill="1" applyBorder="1" applyAlignment="1" applyProtection="1">
      <alignment horizontal="left" vertical="center"/>
    </xf>
    <xf numFmtId="1" fontId="20" fillId="0" borderId="0" xfId="1" applyNumberFormat="1" applyFont="1" applyFill="1" applyBorder="1" applyAlignment="1" applyProtection="1">
      <alignment horizontal="left"/>
    </xf>
    <xf numFmtId="9" fontId="20" fillId="0" borderId="0" xfId="1" applyNumberFormat="1" applyFont="1" applyFill="1" applyBorder="1" applyAlignment="1" applyProtection="1">
      <alignment horizontal="left" vertical="center"/>
    </xf>
    <xf numFmtId="9" fontId="20" fillId="0" borderId="0" xfId="1" applyNumberFormat="1" applyFont="1" applyFill="1" applyBorder="1" applyAlignment="1" applyProtection="1">
      <alignment horizontal="left"/>
    </xf>
    <xf numFmtId="9" fontId="20" fillId="0" borderId="0" xfId="1" applyNumberFormat="1" applyFont="1" applyFill="1" applyBorder="1" applyAlignment="1" applyProtection="1">
      <alignment horizontal="center"/>
    </xf>
    <xf numFmtId="1" fontId="20" fillId="0" borderId="0" xfId="1" applyNumberFormat="1" applyFont="1" applyFill="1" applyBorder="1" applyAlignment="1" applyProtection="1">
      <alignment horizontal="center"/>
    </xf>
    <xf numFmtId="0" fontId="20" fillId="0" borderId="0" xfId="1" applyFont="1" applyFill="1" applyBorder="1" applyAlignment="1" applyProtection="1"/>
    <xf numFmtId="0" fontId="33" fillId="0" borderId="0" xfId="1" applyFont="1" applyBorder="1" applyAlignment="1">
      <alignment horizontal="center"/>
    </xf>
    <xf numFmtId="9" fontId="20" fillId="0" borderId="0" xfId="1" applyNumberFormat="1" applyFont="1" applyFill="1" applyBorder="1" applyAlignment="1" applyProtection="1">
      <alignment horizontal="center" vertical="center"/>
    </xf>
    <xf numFmtId="0" fontId="20" fillId="0" borderId="0" xfId="1" applyFont="1" applyFill="1" applyBorder="1" applyAlignment="1" applyProtection="1">
      <alignment horizontal="center" vertical="center"/>
    </xf>
    <xf numFmtId="164" fontId="13" fillId="0" borderId="0" xfId="1" applyNumberFormat="1" applyFont="1" applyFill="1"/>
    <xf numFmtId="164" fontId="13" fillId="0" borderId="0" xfId="1" applyNumberFormat="1" applyFont="1" applyFill="1" applyBorder="1" applyAlignment="1">
      <alignment horizontal="left"/>
    </xf>
    <xf numFmtId="164" fontId="34" fillId="0" borderId="0" xfId="1" applyNumberFormat="1" applyFont="1" applyFill="1" applyBorder="1" applyAlignment="1">
      <alignment horizontal="left"/>
    </xf>
    <xf numFmtId="0" fontId="13" fillId="0" borderId="0" xfId="1" applyFont="1" applyFill="1" applyAlignment="1">
      <alignment horizontal="left"/>
    </xf>
    <xf numFmtId="164" fontId="13" fillId="0" borderId="0" xfId="1" applyNumberFormat="1" applyFont="1" applyFill="1" applyAlignment="1">
      <alignment horizontal="left"/>
    </xf>
    <xf numFmtId="164" fontId="13" fillId="0" borderId="0" xfId="1" applyNumberFormat="1" applyFont="1" applyAlignment="1">
      <alignment horizontal="left"/>
    </xf>
    <xf numFmtId="0" fontId="34" fillId="15" borderId="0" xfId="1" applyFont="1" applyFill="1" applyBorder="1" applyAlignment="1">
      <alignment horizontal="left" vertical="center"/>
    </xf>
    <xf numFmtId="0" fontId="34" fillId="16" borderId="0" xfId="1" applyFont="1" applyFill="1" applyBorder="1" applyAlignment="1">
      <alignment horizontal="left" vertical="center"/>
    </xf>
    <xf numFmtId="0" fontId="34" fillId="0" borderId="0" xfId="1" applyFont="1" applyFill="1" applyBorder="1" applyAlignment="1">
      <alignment horizontal="left" vertical="center"/>
    </xf>
    <xf numFmtId="0" fontId="34" fillId="17" borderId="0" xfId="1" applyFont="1" applyFill="1" applyBorder="1" applyAlignment="1">
      <alignment horizontal="left" vertical="center"/>
    </xf>
    <xf numFmtId="164" fontId="13" fillId="0" borderId="0" xfId="1" applyNumberFormat="1" applyFont="1" applyFill="1" applyBorder="1" applyAlignment="1">
      <alignment horizontal="left" vertical="center"/>
    </xf>
    <xf numFmtId="164" fontId="34" fillId="0" borderId="0" xfId="1" applyNumberFormat="1" applyFont="1" applyFill="1" applyBorder="1" applyAlignment="1">
      <alignment horizontal="left" vertical="center"/>
    </xf>
    <xf numFmtId="0" fontId="50" fillId="0" borderId="0" xfId="1" applyFont="1" applyBorder="1" applyAlignment="1">
      <alignment horizontal="left" vertical="top"/>
    </xf>
    <xf numFmtId="0" fontId="50" fillId="0" borderId="0" xfId="1" applyFont="1" applyBorder="1" applyAlignment="1">
      <alignment horizontal="center" vertical="center" textRotation="90"/>
    </xf>
    <xf numFmtId="9" fontId="20" fillId="0" borderId="0" xfId="1" applyNumberFormat="1" applyFont="1" applyFill="1" applyBorder="1" applyAlignment="1" applyProtection="1">
      <alignment vertical="center"/>
    </xf>
    <xf numFmtId="0" fontId="20" fillId="0" borderId="0" xfId="1" applyFont="1" applyFill="1" applyBorder="1" applyProtection="1"/>
    <xf numFmtId="9" fontId="20" fillId="0" borderId="0" xfId="4" applyFont="1" applyFill="1" applyBorder="1" applyAlignment="1" applyProtection="1">
      <alignment vertical="center" textRotation="90"/>
    </xf>
    <xf numFmtId="1" fontId="20" fillId="0" borderId="0" xfId="1" applyNumberFormat="1" applyFont="1" applyFill="1" applyBorder="1" applyAlignment="1" applyProtection="1">
      <alignment vertical="center"/>
    </xf>
    <xf numFmtId="0" fontId="33" fillId="0" borderId="0" xfId="1" applyFont="1" applyBorder="1" applyAlignment="1">
      <alignment horizontal="center"/>
    </xf>
    <xf numFmtId="0" fontId="50" fillId="0" borderId="0" xfId="1" applyFont="1" applyBorder="1" applyAlignment="1">
      <alignment horizontal="left" vertical="top"/>
    </xf>
    <xf numFmtId="0" fontId="20" fillId="0" borderId="0" xfId="1" applyFont="1" applyFill="1" applyBorder="1" applyAlignment="1" applyProtection="1">
      <alignment horizontal="center"/>
    </xf>
    <xf numFmtId="0" fontId="51" fillId="13" borderId="48" xfId="1" applyFont="1" applyFill="1" applyBorder="1" applyAlignment="1" applyProtection="1">
      <alignment horizontal="center"/>
      <protection locked="0"/>
    </xf>
    <xf numFmtId="0" fontId="55" fillId="0" borderId="0" xfId="1" applyFont="1"/>
    <xf numFmtId="0" fontId="20" fillId="0" borderId="0" xfId="1" applyFont="1" applyFill="1" applyBorder="1" applyAlignment="1" applyProtection="1">
      <alignment horizontal="center"/>
    </xf>
    <xf numFmtId="0" fontId="17" fillId="0" borderId="0" xfId="0" applyFont="1" applyFill="1" applyBorder="1" applyAlignment="1">
      <alignment horizontal="center" textRotation="90"/>
    </xf>
    <xf numFmtId="0" fontId="17" fillId="0" borderId="0" xfId="0" applyFont="1" applyFill="1" applyBorder="1" applyAlignment="1" applyProtection="1">
      <alignment horizontal="center" vertical="center"/>
      <protection locked="0"/>
    </xf>
    <xf numFmtId="0" fontId="20" fillId="0" borderId="0" xfId="1" applyFont="1" applyFill="1" applyBorder="1" applyAlignment="1" applyProtection="1">
      <alignment horizontal="center"/>
    </xf>
    <xf numFmtId="0" fontId="20" fillId="0" borderId="0" xfId="1" applyFont="1"/>
    <xf numFmtId="0" fontId="56" fillId="0" borderId="19" xfId="1" applyFont="1" applyBorder="1" applyAlignment="1" applyProtection="1">
      <alignment horizontal="center"/>
    </xf>
    <xf numFmtId="0" fontId="56" fillId="0" borderId="0" xfId="1" applyFont="1" applyBorder="1" applyAlignment="1" applyProtection="1">
      <alignment vertical="center"/>
    </xf>
    <xf numFmtId="0" fontId="56" fillId="0" borderId="0" xfId="1" applyFont="1" applyFill="1" applyBorder="1" applyAlignment="1" applyProtection="1">
      <alignment horizontal="center" vertical="center"/>
    </xf>
    <xf numFmtId="0" fontId="56" fillId="0" borderId="0" xfId="1" applyFont="1" applyFill="1" applyBorder="1" applyAlignment="1" applyProtection="1">
      <alignment horizontal="center" vertical="center"/>
    </xf>
    <xf numFmtId="0" fontId="16" fillId="0" borderId="0" xfId="0" applyFont="1" applyFill="1" applyBorder="1" applyAlignment="1" applyProtection="1">
      <alignment horizontal="center"/>
    </xf>
    <xf numFmtId="164" fontId="5" fillId="0" borderId="4" xfId="1" applyNumberFormat="1" applyFont="1" applyFill="1" applyBorder="1" applyAlignment="1" applyProtection="1">
      <alignment horizontal="center" vertical="center"/>
      <protection locked="0"/>
    </xf>
    <xf numFmtId="164" fontId="5" fillId="0" borderId="5" xfId="1" applyNumberFormat="1" applyFill="1" applyBorder="1" applyAlignment="1" applyProtection="1">
      <alignment horizontal="center" vertical="center"/>
      <protection locked="0"/>
    </xf>
    <xf numFmtId="0" fontId="20" fillId="0" borderId="0" xfId="1" applyFont="1" applyFill="1" applyBorder="1" applyAlignment="1" applyProtection="1">
      <alignment horizontal="center"/>
    </xf>
    <xf numFmtId="0" fontId="56" fillId="0" borderId="0" xfId="1" applyFont="1" applyFill="1" applyBorder="1" applyAlignment="1" applyProtection="1">
      <alignment horizontal="center" vertical="center"/>
    </xf>
    <xf numFmtId="0" fontId="5" fillId="22" borderId="25" xfId="0" applyFont="1" applyFill="1" applyBorder="1" applyAlignment="1">
      <alignment horizontal="center" vertical="center"/>
    </xf>
    <xf numFmtId="0" fontId="0" fillId="2" borderId="4" xfId="0" applyFill="1" applyBorder="1" applyAlignment="1" applyProtection="1">
      <alignment horizontal="center" vertical="center"/>
      <protection locked="0"/>
    </xf>
    <xf numFmtId="0" fontId="0" fillId="2" borderId="2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5" fillId="0" borderId="0" xfId="0" applyFont="1" applyFill="1" applyBorder="1" applyAlignment="1" applyProtection="1">
      <alignment horizontal="center"/>
    </xf>
    <xf numFmtId="0" fontId="0" fillId="2" borderId="5" xfId="0" applyFill="1" applyBorder="1" applyAlignment="1" applyProtection="1">
      <alignment horizontal="center" vertical="center"/>
      <protection locked="0"/>
    </xf>
    <xf numFmtId="0" fontId="0" fillId="2" borderId="20"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15" fillId="0" borderId="0" xfId="1" applyFont="1" applyAlignment="1">
      <alignment vertical="center"/>
    </xf>
    <xf numFmtId="0" fontId="46" fillId="0" borderId="0" xfId="1" applyFont="1" applyAlignment="1">
      <alignment vertical="center"/>
    </xf>
    <xf numFmtId="0" fontId="15" fillId="0" borderId="0" xfId="1" applyFont="1" applyAlignment="1">
      <alignment horizontal="center" vertical="center"/>
    </xf>
    <xf numFmtId="0" fontId="15" fillId="0" borderId="0" xfId="1" applyFont="1" applyAlignment="1">
      <alignment horizontal="left" vertical="center"/>
    </xf>
    <xf numFmtId="0" fontId="10" fillId="0" borderId="45" xfId="1" applyFont="1" applyBorder="1" applyAlignment="1">
      <alignment vertical="center"/>
    </xf>
    <xf numFmtId="0" fontId="10" fillId="0" borderId="15" xfId="1" applyFont="1" applyBorder="1" applyAlignment="1">
      <alignment horizontal="center" vertical="center"/>
    </xf>
    <xf numFmtId="0" fontId="10" fillId="0" borderId="45" xfId="1" applyFont="1" applyBorder="1" applyAlignment="1">
      <alignment horizontal="center" vertical="center"/>
    </xf>
    <xf numFmtId="0" fontId="10" fillId="0" borderId="15" xfId="1" applyFont="1" applyBorder="1" applyAlignment="1">
      <alignment vertical="center"/>
    </xf>
    <xf numFmtId="0" fontId="10" fillId="0" borderId="6" xfId="1" applyFont="1" applyBorder="1" applyAlignment="1">
      <alignment vertical="center"/>
    </xf>
    <xf numFmtId="0" fontId="10" fillId="0" borderId="0" xfId="1" applyFont="1" applyAlignment="1">
      <alignment vertical="center"/>
    </xf>
    <xf numFmtId="0" fontId="13" fillId="14" borderId="9" xfId="1" applyFont="1" applyFill="1" applyBorder="1" applyAlignment="1" applyProtection="1">
      <alignment horizontal="center" vertical="center"/>
      <protection locked="0"/>
    </xf>
    <xf numFmtId="0" fontId="15" fillId="0" borderId="15" xfId="1" applyFont="1" applyBorder="1" applyAlignment="1">
      <alignment horizontal="left" vertical="center"/>
    </xf>
    <xf numFmtId="0" fontId="15" fillId="0" borderId="45" xfId="1" applyFont="1" applyFill="1" applyBorder="1" applyAlignment="1">
      <alignment vertical="center"/>
    </xf>
    <xf numFmtId="0" fontId="15" fillId="0" borderId="15" xfId="1" applyFont="1" applyFill="1" applyBorder="1" applyAlignment="1">
      <alignment vertical="center"/>
    </xf>
    <xf numFmtId="0" fontId="15" fillId="0" borderId="6" xfId="1" applyFont="1" applyFill="1" applyBorder="1" applyAlignment="1">
      <alignment vertical="center"/>
    </xf>
    <xf numFmtId="0" fontId="60" fillId="0" borderId="0" xfId="1" applyFont="1" applyAlignment="1">
      <alignment vertical="center"/>
    </xf>
    <xf numFmtId="0" fontId="15" fillId="0" borderId="46" xfId="1" applyFont="1" applyBorder="1" applyAlignment="1">
      <alignment vertical="center"/>
    </xf>
    <xf numFmtId="0" fontId="15" fillId="0" borderId="0" xfId="1" applyFont="1" applyBorder="1" applyAlignment="1">
      <alignment horizontal="center" vertical="center"/>
    </xf>
    <xf numFmtId="0" fontId="15" fillId="0" borderId="46" xfId="1" applyFont="1" applyBorder="1" applyAlignment="1">
      <alignment horizontal="center" vertical="center"/>
    </xf>
    <xf numFmtId="0" fontId="15" fillId="0" borderId="0" xfId="1" applyFont="1" applyBorder="1" applyAlignment="1">
      <alignment vertical="center"/>
    </xf>
    <xf numFmtId="0" fontId="15" fillId="0" borderId="13" xfId="1" applyFont="1" applyBorder="1" applyAlignment="1">
      <alignment vertical="center"/>
    </xf>
    <xf numFmtId="0" fontId="15" fillId="5" borderId="20" xfId="1" applyFont="1" applyFill="1" applyBorder="1" applyAlignment="1" applyProtection="1">
      <alignment horizontal="center" vertical="center"/>
      <protection locked="0"/>
    </xf>
    <xf numFmtId="0" fontId="61" fillId="0" borderId="16" xfId="1" applyFont="1" applyBorder="1" applyAlignment="1">
      <alignment horizontal="left" vertical="center"/>
    </xf>
    <xf numFmtId="0" fontId="15" fillId="0" borderId="14" xfId="1" applyFont="1" applyBorder="1" applyAlignment="1">
      <alignment vertical="center"/>
    </xf>
    <xf numFmtId="0" fontId="15" fillId="0" borderId="47" xfId="1" applyFont="1" applyFill="1" applyBorder="1" applyAlignment="1">
      <alignment vertical="center"/>
    </xf>
    <xf numFmtId="0" fontId="15" fillId="0" borderId="16" xfId="1" applyFont="1" applyFill="1" applyBorder="1" applyAlignment="1">
      <alignment vertical="center"/>
    </xf>
    <xf numFmtId="0" fontId="15" fillId="0" borderId="14" xfId="1" applyFont="1" applyFill="1" applyBorder="1" applyAlignment="1">
      <alignment vertical="center"/>
    </xf>
    <xf numFmtId="0" fontId="60" fillId="0" borderId="0" xfId="1" applyFont="1" applyAlignment="1">
      <alignment horizontal="center" vertical="center"/>
    </xf>
    <xf numFmtId="0" fontId="46" fillId="0" borderId="0" xfId="1" applyFont="1" applyAlignment="1">
      <alignment horizontal="center" vertical="center"/>
    </xf>
    <xf numFmtId="0" fontId="15" fillId="0" borderId="46" xfId="1" applyFont="1" applyBorder="1" applyAlignment="1">
      <alignment horizontal="left" vertical="center"/>
    </xf>
    <xf numFmtId="0" fontId="15" fillId="0" borderId="0" xfId="1" applyFont="1" applyBorder="1" applyAlignment="1">
      <alignment horizontal="left" vertical="center"/>
    </xf>
    <xf numFmtId="0" fontId="15" fillId="0" borderId="13" xfId="1" applyFont="1" applyBorder="1" applyAlignment="1">
      <alignment horizontal="center" vertical="center"/>
    </xf>
    <xf numFmtId="0" fontId="60" fillId="0" borderId="0" xfId="1" applyFont="1" applyAlignment="1" applyProtection="1">
      <alignment horizontal="center" vertical="center"/>
      <protection locked="0"/>
    </xf>
    <xf numFmtId="0" fontId="15" fillId="12" borderId="5" xfId="1" applyFont="1" applyFill="1" applyBorder="1" applyAlignment="1" applyProtection="1">
      <alignment horizontal="center" vertical="center"/>
    </xf>
    <xf numFmtId="0" fontId="15" fillId="26" borderId="20" xfId="1" applyFont="1" applyFill="1" applyBorder="1" applyAlignment="1" applyProtection="1">
      <alignment horizontal="center" vertical="center"/>
    </xf>
    <xf numFmtId="1" fontId="15" fillId="19" borderId="20" xfId="1" applyNumberFormat="1" applyFont="1" applyFill="1" applyBorder="1" applyAlignment="1" applyProtection="1">
      <alignment horizontal="center" vertical="center"/>
    </xf>
    <xf numFmtId="2" fontId="15" fillId="14" borderId="8"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1" fontId="15" fillId="0" borderId="0" xfId="1" applyNumberFormat="1" applyFont="1" applyFill="1" applyBorder="1" applyAlignment="1" applyProtection="1">
      <alignment horizontal="center" vertical="center"/>
    </xf>
    <xf numFmtId="2" fontId="15" fillId="0" borderId="0" xfId="1" applyNumberFormat="1" applyFont="1" applyFill="1" applyBorder="1" applyAlignment="1" applyProtection="1">
      <alignment horizontal="center" vertical="center"/>
    </xf>
    <xf numFmtId="0" fontId="15" fillId="0" borderId="47" xfId="1" applyFont="1" applyBorder="1" applyAlignment="1">
      <alignment horizontal="left" vertical="center"/>
    </xf>
    <xf numFmtId="0" fontId="15" fillId="0" borderId="16" xfId="1" applyFont="1" applyBorder="1" applyAlignment="1">
      <alignment vertical="center"/>
    </xf>
    <xf numFmtId="0" fontId="15" fillId="0" borderId="16" xfId="1" applyFont="1" applyBorder="1" applyAlignment="1">
      <alignment horizontal="center" vertical="center"/>
    </xf>
    <xf numFmtId="0" fontId="15" fillId="0" borderId="16" xfId="1" applyFont="1" applyBorder="1" applyAlignment="1">
      <alignment horizontal="left" vertical="center"/>
    </xf>
    <xf numFmtId="0" fontId="15" fillId="0" borderId="14" xfId="1" applyFont="1" applyBorder="1" applyAlignment="1">
      <alignment horizontal="center" vertical="center"/>
    </xf>
    <xf numFmtId="0" fontId="15" fillId="0" borderId="53" xfId="1" applyFont="1" applyBorder="1" applyAlignment="1">
      <alignment vertical="center"/>
    </xf>
    <xf numFmtId="0" fontId="15" fillId="20" borderId="56" xfId="1" applyFont="1" applyFill="1" applyBorder="1" applyAlignment="1">
      <alignment horizontal="center" vertical="center"/>
    </xf>
    <xf numFmtId="0" fontId="15" fillId="20" borderId="57" xfId="1" applyFont="1" applyFill="1" applyBorder="1" applyAlignment="1">
      <alignment horizontal="center" vertical="center"/>
    </xf>
    <xf numFmtId="0" fontId="15" fillId="20" borderId="58" xfId="1" applyFont="1" applyFill="1" applyBorder="1" applyAlignment="1">
      <alignment horizontal="center" vertical="center"/>
    </xf>
    <xf numFmtId="0" fontId="15" fillId="0" borderId="4" xfId="1" applyFont="1" applyBorder="1" applyAlignment="1">
      <alignment horizontal="center" vertical="center"/>
    </xf>
    <xf numFmtId="164" fontId="62" fillId="6" borderId="7" xfId="1" applyNumberFormat="1" applyFont="1" applyFill="1" applyBorder="1" applyAlignment="1" applyProtection="1">
      <alignment horizontal="left" vertical="center" wrapText="1"/>
      <protection locked="0"/>
    </xf>
    <xf numFmtId="0" fontId="15" fillId="0" borderId="0" xfId="1" applyFont="1" applyBorder="1" applyAlignment="1" applyProtection="1">
      <alignment horizontal="center" vertical="center"/>
      <protection locked="0"/>
    </xf>
    <xf numFmtId="0" fontId="60" fillId="0" borderId="46" xfId="1" applyFont="1" applyBorder="1" applyAlignment="1">
      <alignment horizontal="center" vertical="center"/>
    </xf>
    <xf numFmtId="0" fontId="15" fillId="23" borderId="2" xfId="1" applyFont="1" applyFill="1" applyBorder="1" applyAlignment="1">
      <alignment vertical="center"/>
    </xf>
    <xf numFmtId="0" fontId="15" fillId="23" borderId="37" xfId="1" applyFont="1" applyFill="1" applyBorder="1" applyAlignment="1">
      <alignment horizontal="center" vertical="center"/>
    </xf>
    <xf numFmtId="0" fontId="15" fillId="23" borderId="21" xfId="1" applyFont="1" applyFill="1" applyBorder="1" applyAlignment="1">
      <alignment vertical="center"/>
    </xf>
    <xf numFmtId="0" fontId="15" fillId="20" borderId="45" xfId="1" applyFont="1" applyFill="1" applyBorder="1" applyAlignment="1">
      <alignment vertical="center"/>
    </xf>
    <xf numFmtId="0" fontId="15" fillId="20" borderId="15" xfId="1" applyFont="1" applyFill="1" applyBorder="1" applyAlignment="1" applyProtection="1">
      <alignment horizontal="center" vertical="center"/>
    </xf>
    <xf numFmtId="0" fontId="15" fillId="20" borderId="15" xfId="1" applyFont="1" applyFill="1" applyBorder="1" applyAlignment="1">
      <alignment vertical="center"/>
    </xf>
    <xf numFmtId="0" fontId="15" fillId="20" borderId="61" xfId="1" applyFont="1" applyFill="1" applyBorder="1" applyAlignment="1">
      <alignment horizontal="center" vertical="center"/>
    </xf>
    <xf numFmtId="0" fontId="61" fillId="0" borderId="5" xfId="1" applyFont="1" applyBorder="1" applyAlignment="1">
      <alignment horizontal="left" vertical="center"/>
    </xf>
    <xf numFmtId="0" fontId="15" fillId="0" borderId="41" xfId="1" applyFont="1" applyBorder="1" applyAlignment="1">
      <alignment horizontal="left" vertical="center"/>
    </xf>
    <xf numFmtId="0" fontId="61" fillId="0" borderId="41" xfId="1" applyFont="1" applyBorder="1" applyAlignment="1">
      <alignment horizontal="left" vertical="center"/>
    </xf>
    <xf numFmtId="0" fontId="61" fillId="24" borderId="8" xfId="1" applyFont="1" applyFill="1" applyBorder="1" applyAlignment="1" applyProtection="1">
      <alignment horizontal="center" vertical="center"/>
    </xf>
    <xf numFmtId="0" fontId="15" fillId="0" borderId="46" xfId="1" applyFont="1" applyBorder="1" applyAlignment="1" applyProtection="1">
      <alignment vertical="center"/>
    </xf>
    <xf numFmtId="0" fontId="15" fillId="0" borderId="0" xfId="1" applyFont="1" applyBorder="1" applyAlignment="1" applyProtection="1">
      <alignment vertical="center"/>
    </xf>
    <xf numFmtId="164" fontId="15" fillId="0" borderId="58" xfId="1" applyNumberFormat="1" applyFont="1" applyBorder="1" applyAlignment="1">
      <alignment horizontal="center" vertical="center"/>
    </xf>
    <xf numFmtId="0" fontId="15" fillId="23" borderId="37" xfId="1" applyFont="1" applyFill="1" applyBorder="1" applyAlignment="1">
      <alignment vertical="center"/>
    </xf>
    <xf numFmtId="0" fontId="15" fillId="0" borderId="4" xfId="1" applyFont="1" applyFill="1" applyBorder="1" applyAlignment="1" applyProtection="1">
      <alignment horizontal="left" vertical="center"/>
    </xf>
    <xf numFmtId="0" fontId="15" fillId="5" borderId="25" xfId="1" applyFont="1" applyFill="1" applyBorder="1" applyAlignment="1" applyProtection="1">
      <alignment horizontal="left" vertical="center"/>
      <protection locked="0"/>
    </xf>
    <xf numFmtId="0" fontId="15" fillId="0" borderId="7" xfId="1" applyFont="1" applyFill="1" applyBorder="1" applyAlignment="1" applyProtection="1">
      <alignment horizontal="center" vertical="center"/>
    </xf>
    <xf numFmtId="0" fontId="15" fillId="0" borderId="47" xfId="1" applyFont="1" applyBorder="1" applyAlignment="1" applyProtection="1">
      <alignment vertical="center"/>
    </xf>
    <xf numFmtId="0" fontId="15" fillId="0" borderId="16" xfId="1" applyFont="1" applyBorder="1" applyAlignment="1" applyProtection="1">
      <alignment vertical="center"/>
    </xf>
    <xf numFmtId="164" fontId="15" fillId="0" borderId="65" xfId="1" applyNumberFormat="1" applyFont="1" applyBorder="1" applyAlignment="1">
      <alignment horizontal="center" vertical="center"/>
    </xf>
    <xf numFmtId="0" fontId="15" fillId="0" borderId="0" xfId="1" applyFont="1" applyBorder="1" applyAlignment="1" applyProtection="1">
      <alignment horizontal="left" vertical="center"/>
    </xf>
    <xf numFmtId="2" fontId="15" fillId="0" borderId="0" xfId="1" applyNumberFormat="1" applyFont="1" applyBorder="1" applyAlignment="1" applyProtection="1">
      <alignment horizontal="center" vertical="center"/>
    </xf>
    <xf numFmtId="0" fontId="15" fillId="5" borderId="4" xfId="1" applyFont="1" applyFill="1" applyBorder="1" applyAlignment="1" applyProtection="1">
      <alignment horizontal="left" vertical="center"/>
      <protection locked="0"/>
    </xf>
    <xf numFmtId="0" fontId="61" fillId="0" borderId="5" xfId="1" applyFont="1" applyFill="1" applyBorder="1" applyAlignment="1" applyProtection="1">
      <alignment horizontal="left" vertical="center"/>
    </xf>
    <xf numFmtId="0" fontId="61" fillId="0" borderId="41" xfId="1" applyFont="1" applyFill="1" applyBorder="1" applyAlignment="1" applyProtection="1">
      <alignment horizontal="left" vertical="center"/>
    </xf>
    <xf numFmtId="0" fontId="61" fillId="0" borderId="8" xfId="1" applyFont="1" applyFill="1" applyBorder="1" applyAlignment="1" applyProtection="1">
      <alignment horizontal="center" vertical="center"/>
    </xf>
    <xf numFmtId="0" fontId="61" fillId="0" borderId="0" xfId="1" applyFont="1" applyFill="1" applyBorder="1" applyAlignment="1">
      <alignment horizontal="left" vertical="center"/>
    </xf>
    <xf numFmtId="0" fontId="61" fillId="0" borderId="5" xfId="1" applyFont="1" applyBorder="1" applyAlignment="1" applyProtection="1">
      <alignment horizontal="left" vertical="center"/>
    </xf>
    <xf numFmtId="0" fontId="15" fillId="0" borderId="0" xfId="1" applyFont="1" applyFill="1" applyBorder="1" applyAlignment="1">
      <alignment vertical="center"/>
    </xf>
    <xf numFmtId="0" fontId="15" fillId="0" borderId="0" xfId="1" applyFont="1" applyFill="1" applyBorder="1" applyAlignment="1" applyProtection="1">
      <alignment horizontal="left" vertical="center"/>
    </xf>
    <xf numFmtId="2" fontId="15" fillId="0" borderId="0" xfId="1" applyNumberFormat="1" applyFont="1" applyFill="1" applyBorder="1" applyAlignment="1" applyProtection="1">
      <alignment horizontal="left" vertical="center"/>
    </xf>
    <xf numFmtId="0" fontId="61" fillId="0" borderId="0" xfId="1" applyFont="1" applyBorder="1" applyAlignment="1">
      <alignment horizontal="left" vertical="center"/>
    </xf>
    <xf numFmtId="0" fontId="46" fillId="0" borderId="0" xfId="1" applyFont="1" applyBorder="1" applyAlignment="1">
      <alignment vertical="center"/>
    </xf>
    <xf numFmtId="0" fontId="15" fillId="0" borderId="66" xfId="1" applyFont="1" applyBorder="1" applyAlignment="1">
      <alignment horizontal="center" vertical="center"/>
    </xf>
    <xf numFmtId="0" fontId="61" fillId="0" borderId="2" xfId="1" applyFont="1" applyBorder="1" applyAlignment="1">
      <alignment horizontal="left" vertical="center"/>
    </xf>
    <xf numFmtId="0" fontId="61" fillId="0" borderId="37" xfId="1" applyFont="1" applyBorder="1" applyAlignment="1">
      <alignment horizontal="left" vertical="center"/>
    </xf>
    <xf numFmtId="0" fontId="61" fillId="27" borderId="21" xfId="1" applyFont="1" applyFill="1" applyBorder="1" applyAlignment="1">
      <alignment horizontal="center" vertical="center"/>
    </xf>
    <xf numFmtId="0" fontId="45" fillId="0" borderId="13" xfId="1" applyFont="1" applyBorder="1" applyAlignment="1">
      <alignment horizontal="center" vertical="center"/>
    </xf>
    <xf numFmtId="0" fontId="15" fillId="0" borderId="5" xfId="1" applyFont="1" applyBorder="1" applyAlignment="1">
      <alignment horizontal="center" vertical="center"/>
    </xf>
    <xf numFmtId="0" fontId="15" fillId="0" borderId="47" xfId="1" applyFont="1" applyBorder="1" applyAlignment="1">
      <alignment vertical="center"/>
    </xf>
    <xf numFmtId="0" fontId="15" fillId="0" borderId="16" xfId="1" applyFont="1" applyBorder="1" applyAlignment="1" applyProtection="1">
      <alignment horizontal="center" vertical="center"/>
      <protection locked="0"/>
    </xf>
    <xf numFmtId="2" fontId="61" fillId="14" borderId="8" xfId="1" applyNumberFormat="1" applyFont="1" applyFill="1" applyBorder="1" applyAlignment="1">
      <alignment horizontal="center" vertical="center"/>
    </xf>
    <xf numFmtId="165" fontId="0" fillId="6" borderId="25" xfId="0" applyNumberFormat="1" applyFill="1" applyBorder="1" applyAlignment="1">
      <alignment horizontal="center" vertical="center"/>
    </xf>
    <xf numFmtId="0" fontId="23" fillId="0" borderId="0" xfId="1" applyFont="1" applyAlignment="1">
      <alignment vertical="top"/>
    </xf>
    <xf numFmtId="0" fontId="5" fillId="0" borderId="0" xfId="1" applyAlignment="1">
      <alignment vertical="top" wrapText="1"/>
    </xf>
    <xf numFmtId="14" fontId="66" fillId="0" borderId="0" xfId="1" applyNumberFormat="1" applyFont="1" applyAlignment="1" applyProtection="1">
      <alignment horizontal="right" vertical="top" wrapText="1"/>
      <protection locked="0"/>
    </xf>
    <xf numFmtId="14" fontId="66" fillId="0" borderId="0" xfId="1" applyNumberFormat="1" applyFont="1" applyAlignment="1" applyProtection="1">
      <alignment horizontal="left" vertical="top" wrapText="1"/>
      <protection locked="0"/>
    </xf>
    <xf numFmtId="0" fontId="61" fillId="0" borderId="0" xfId="1" applyFont="1" applyAlignment="1">
      <alignment vertical="top" wrapText="1"/>
    </xf>
    <xf numFmtId="0" fontId="67" fillId="0" borderId="0" xfId="1" applyFont="1" applyAlignment="1">
      <alignment vertical="center" wrapText="1"/>
    </xf>
    <xf numFmtId="0" fontId="13" fillId="0" borderId="0" xfId="1" applyFont="1" applyAlignment="1">
      <alignment vertical="top" wrapText="1"/>
    </xf>
    <xf numFmtId="0" fontId="67" fillId="0" borderId="0" xfId="1" applyFont="1" applyAlignment="1">
      <alignment vertical="top" wrapText="1"/>
    </xf>
    <xf numFmtId="0" fontId="69" fillId="0" borderId="0" xfId="1" applyFont="1" applyAlignment="1">
      <alignment vertical="top" wrapText="1"/>
    </xf>
    <xf numFmtId="0" fontId="71" fillId="0" borderId="0" xfId="1" applyFont="1" applyAlignment="1">
      <alignment vertical="top" wrapText="1"/>
    </xf>
    <xf numFmtId="0" fontId="60" fillId="0" borderId="47" xfId="1" applyFont="1" applyBorder="1" applyAlignment="1">
      <alignment horizontal="center" vertical="center"/>
    </xf>
    <xf numFmtId="0" fontId="5" fillId="4" borderId="33" xfId="0" applyFont="1" applyFill="1" applyBorder="1" applyAlignment="1" applyProtection="1">
      <alignment horizontal="center" vertical="center"/>
      <protection locked="0"/>
    </xf>
    <xf numFmtId="0" fontId="5" fillId="5" borderId="26" xfId="0" applyFont="1" applyFill="1" applyBorder="1" applyAlignment="1" applyProtection="1">
      <alignment horizontal="center" vertical="center"/>
      <protection locked="0"/>
    </xf>
    <xf numFmtId="164" fontId="5" fillId="4" borderId="25"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2" borderId="25"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protection locked="0"/>
    </xf>
    <xf numFmtId="164" fontId="5" fillId="5" borderId="26" xfId="1" applyNumberFormat="1"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164" fontId="62" fillId="6" borderId="8" xfId="1" applyNumberFormat="1" applyFont="1" applyFill="1" applyBorder="1" applyAlignment="1" applyProtection="1">
      <alignment horizontal="left" vertical="center" wrapText="1"/>
      <protection locked="0"/>
    </xf>
    <xf numFmtId="0" fontId="16" fillId="21" borderId="11" xfId="0" applyFont="1" applyFill="1" applyBorder="1" applyAlignment="1" applyProtection="1">
      <alignment horizontal="center" vertical="center"/>
      <protection locked="0"/>
    </xf>
    <xf numFmtId="0" fontId="16" fillId="22" borderId="27" xfId="0" applyFont="1" applyFill="1" applyBorder="1" applyAlignment="1" applyProtection="1">
      <alignment horizontal="center" vertical="center"/>
      <protection locked="0"/>
    </xf>
    <xf numFmtId="164" fontId="19" fillId="21" borderId="25" xfId="0" applyNumberFormat="1" applyFont="1" applyFill="1" applyBorder="1" applyAlignment="1" applyProtection="1">
      <alignment vertical="center" wrapText="1"/>
      <protection locked="0"/>
    </xf>
    <xf numFmtId="0" fontId="0" fillId="21" borderId="25" xfId="0" applyFill="1" applyBorder="1" applyAlignment="1" applyProtection="1">
      <alignment horizontal="center"/>
      <protection locked="0"/>
    </xf>
    <xf numFmtId="0" fontId="5" fillId="21" borderId="70" xfId="1" applyFill="1" applyBorder="1"/>
    <xf numFmtId="0" fontId="5" fillId="21" borderId="71" xfId="1" applyFill="1" applyBorder="1"/>
    <xf numFmtId="0" fontId="5" fillId="21" borderId="63" xfId="1" applyFill="1" applyBorder="1"/>
    <xf numFmtId="0" fontId="5" fillId="21" borderId="28" xfId="1" applyFill="1" applyBorder="1"/>
    <xf numFmtId="0" fontId="5" fillId="21" borderId="72" xfId="1" applyFill="1" applyBorder="1"/>
    <xf numFmtId="0" fontId="5" fillId="21" borderId="73" xfId="1" applyFill="1" applyBorder="1"/>
    <xf numFmtId="0" fontId="6" fillId="22" borderId="25" xfId="0" applyFont="1" applyFill="1" applyBorder="1" applyAlignment="1">
      <alignment horizontal="left" vertical="center"/>
    </xf>
    <xf numFmtId="0" fontId="7" fillId="0" borderId="0" xfId="1" applyFont="1" applyBorder="1" applyAlignment="1" applyProtection="1">
      <alignment horizontal="center"/>
    </xf>
    <xf numFmtId="0" fontId="5" fillId="0" borderId="0" xfId="1" applyFill="1" applyBorder="1" applyAlignment="1" applyProtection="1">
      <alignment horizontal="center"/>
    </xf>
    <xf numFmtId="0" fontId="7" fillId="0" borderId="0" xfId="1" applyFont="1" applyBorder="1" applyAlignment="1" applyProtection="1">
      <alignment horizontal="center" textRotation="90"/>
    </xf>
    <xf numFmtId="0" fontId="74" fillId="0" borderId="0" xfId="1" applyNumberFormat="1" applyFont="1" applyBorder="1" applyAlignment="1" applyProtection="1">
      <alignment horizontal="center"/>
    </xf>
    <xf numFmtId="9" fontId="36" fillId="0" borderId="0" xfId="1" applyNumberFormat="1" applyFont="1" applyFill="1" applyBorder="1" applyProtection="1"/>
    <xf numFmtId="9" fontId="5" fillId="0" borderId="0" xfId="1" applyNumberFormat="1" applyFill="1" applyBorder="1" applyProtection="1"/>
    <xf numFmtId="0" fontId="75" fillId="0" borderId="0" xfId="1" applyFont="1" applyFill="1" applyBorder="1" applyAlignment="1" applyProtection="1">
      <alignment horizontal="center"/>
    </xf>
    <xf numFmtId="0" fontId="5" fillId="0" borderId="20" xfId="1" applyFont="1" applyFill="1" applyBorder="1" applyAlignment="1" applyProtection="1">
      <alignment horizontal="left" vertical="center"/>
    </xf>
    <xf numFmtId="0" fontId="5" fillId="0" borderId="0" xfId="1" applyFont="1" applyFill="1" applyBorder="1" applyAlignment="1" applyProtection="1">
      <alignment horizontal="left"/>
      <protection locked="0"/>
    </xf>
    <xf numFmtId="0" fontId="5" fillId="0" borderId="0" xfId="1" applyFill="1" applyBorder="1" applyAlignment="1" applyProtection="1">
      <alignment vertical="top" readingOrder="1"/>
    </xf>
    <xf numFmtId="0" fontId="5" fillId="19" borderId="0" xfId="1" applyFill="1" applyBorder="1" applyProtection="1"/>
    <xf numFmtId="0" fontId="5" fillId="19" borderId="0" xfId="1" applyFill="1" applyBorder="1" applyAlignment="1"/>
    <xf numFmtId="0" fontId="5" fillId="19" borderId="0" xfId="1" applyFill="1" applyBorder="1" applyAlignment="1" applyProtection="1">
      <alignment horizontal="center" vertical="center"/>
      <protection locked="0"/>
    </xf>
    <xf numFmtId="0" fontId="36" fillId="0" borderId="0" xfId="1" applyFont="1" applyFill="1" applyBorder="1" applyAlignment="1" applyProtection="1">
      <alignment vertical="center"/>
      <protection locked="0"/>
    </xf>
    <xf numFmtId="0" fontId="36" fillId="0" borderId="0" xfId="1" applyFont="1" applyFill="1" applyBorder="1" applyAlignment="1" applyProtection="1">
      <alignment horizontal="center" vertical="center"/>
      <protection locked="0"/>
    </xf>
    <xf numFmtId="9" fontId="36" fillId="0" borderId="0" xfId="1" applyNumberFormat="1" applyFont="1" applyFill="1" applyBorder="1" applyAlignment="1" applyProtection="1">
      <alignment horizontal="center" vertical="center"/>
      <protection locked="0"/>
    </xf>
    <xf numFmtId="0" fontId="36" fillId="0" borderId="0" xfId="1" applyFont="1" applyAlignment="1" applyProtection="1">
      <alignment horizontal="center"/>
    </xf>
    <xf numFmtId="9" fontId="36" fillId="0" borderId="0" xfId="1" applyNumberFormat="1" applyFont="1" applyAlignment="1" applyProtection="1">
      <alignment horizontal="center"/>
    </xf>
    <xf numFmtId="10" fontId="36" fillId="0" borderId="0" xfId="1" applyNumberFormat="1" applyFont="1" applyAlignment="1" applyProtection="1">
      <alignment horizontal="center"/>
    </xf>
    <xf numFmtId="0" fontId="5" fillId="0" borderId="0" xfId="1" applyFont="1" applyFill="1" applyBorder="1" applyAlignment="1" applyProtection="1">
      <alignment horizontal="center" vertical="center"/>
      <protection locked="0"/>
    </xf>
    <xf numFmtId="0" fontId="5" fillId="0" borderId="0" xfId="1" applyBorder="1" applyProtection="1"/>
    <xf numFmtId="0" fontId="76" fillId="0" borderId="0" xfId="1" applyFont="1" applyFill="1" applyBorder="1" applyAlignment="1" applyProtection="1">
      <alignment horizontal="left"/>
    </xf>
    <xf numFmtId="0" fontId="76" fillId="0" borderId="0" xfId="1" applyFont="1" applyFill="1" applyAlignment="1" applyProtection="1">
      <alignment horizontal="center" vertical="center"/>
    </xf>
    <xf numFmtId="0" fontId="5" fillId="0" borderId="25" xfId="1" applyFont="1" applyBorder="1"/>
    <xf numFmtId="0" fontId="5" fillId="0" borderId="0" xfId="1" applyAlignment="1">
      <alignment horizontal="center" vertical="center"/>
    </xf>
    <xf numFmtId="0" fontId="6" fillId="0" borderId="25" xfId="0" applyFont="1" applyBorder="1" applyAlignment="1">
      <alignment horizontal="right"/>
    </xf>
    <xf numFmtId="0" fontId="0" fillId="0" borderId="25" xfId="0" applyBorder="1" applyAlignment="1">
      <alignment horizontal="right" vertical="center"/>
    </xf>
    <xf numFmtId="0" fontId="56" fillId="0" borderId="18" xfId="1" applyFont="1" applyBorder="1" applyAlignment="1" applyProtection="1">
      <alignment horizontal="center"/>
    </xf>
    <xf numFmtId="0" fontId="14" fillId="0" borderId="18" xfId="1" applyFont="1" applyBorder="1" applyProtection="1"/>
    <xf numFmtId="0" fontId="56" fillId="0" borderId="18" xfId="1" applyFont="1" applyBorder="1" applyAlignment="1" applyProtection="1">
      <alignment vertical="center"/>
    </xf>
    <xf numFmtId="0" fontId="56" fillId="0" borderId="19" xfId="1" applyFont="1" applyBorder="1" applyAlignment="1" applyProtection="1">
      <alignment vertical="center"/>
    </xf>
    <xf numFmtId="0" fontId="5" fillId="0" borderId="66" xfId="1" applyBorder="1" applyAlignment="1" applyProtection="1">
      <alignment horizontal="center" vertical="center"/>
    </xf>
    <xf numFmtId="0" fontId="5" fillId="0" borderId="34" xfId="1" applyFont="1" applyFill="1" applyBorder="1" applyAlignment="1" applyProtection="1">
      <alignment horizontal="left" vertical="center"/>
    </xf>
    <xf numFmtId="0" fontId="5" fillId="0" borderId="0" xfId="4" applyNumberFormat="1" applyFont="1" applyFill="1" applyBorder="1" applyAlignment="1" applyProtection="1">
      <alignment vertical="top" wrapText="1"/>
      <protection locked="0"/>
    </xf>
    <xf numFmtId="0" fontId="73" fillId="19" borderId="32" xfId="1" applyFont="1" applyFill="1" applyBorder="1" applyAlignment="1" applyProtection="1">
      <alignment horizontal="center" vertical="center"/>
      <protection locked="0"/>
    </xf>
    <xf numFmtId="0" fontId="5" fillId="19" borderId="32" xfId="1" applyFont="1" applyFill="1" applyBorder="1" applyAlignment="1" applyProtection="1">
      <alignment horizontal="center" vertical="center"/>
      <protection locked="0"/>
    </xf>
    <xf numFmtId="0" fontId="5" fillId="19" borderId="35" xfId="1" applyFont="1" applyFill="1" applyBorder="1" applyAlignment="1" applyProtection="1">
      <alignment horizontal="center" vertical="center"/>
      <protection locked="0"/>
    </xf>
    <xf numFmtId="0" fontId="5" fillId="2" borderId="2" xfId="1" applyFill="1" applyBorder="1" applyAlignment="1" applyProtection="1">
      <alignment vertical="center"/>
      <protection locked="0"/>
    </xf>
    <xf numFmtId="0" fontId="5" fillId="2" borderId="4" xfId="1" applyFill="1" applyBorder="1" applyAlignment="1" applyProtection="1">
      <alignment vertical="center"/>
      <protection locked="0"/>
    </xf>
    <xf numFmtId="0" fontId="5" fillId="2" borderId="5" xfId="1" applyFill="1" applyBorder="1" applyAlignment="1" applyProtection="1">
      <alignment vertical="center"/>
      <protection locked="0"/>
    </xf>
    <xf numFmtId="0" fontId="5" fillId="0" borderId="0" xfId="1" applyBorder="1" applyAlignment="1" applyProtection="1"/>
    <xf numFmtId="0" fontId="5" fillId="0" borderId="0" xfId="1" applyFill="1" applyBorder="1" applyAlignment="1" applyProtection="1">
      <alignment vertical="center"/>
      <protection locked="0"/>
    </xf>
    <xf numFmtId="0" fontId="5" fillId="0" borderId="0" xfId="0" applyFont="1"/>
    <xf numFmtId="0" fontId="8" fillId="0" borderId="0" xfId="0" applyFont="1"/>
    <xf numFmtId="0" fontId="5" fillId="0" borderId="32" xfId="0" applyFont="1" applyBorder="1" applyAlignment="1" applyProtection="1">
      <alignment horizontal="center" vertical="center"/>
      <protection locked="0"/>
    </xf>
    <xf numFmtId="0" fontId="16" fillId="0" borderId="0" xfId="1" applyFont="1" applyAlignment="1" applyProtection="1">
      <alignment horizontal="center" vertical="center"/>
    </xf>
    <xf numFmtId="0" fontId="5" fillId="2" borderId="25" xfId="1" applyFont="1" applyFill="1" applyBorder="1" applyAlignment="1" applyProtection="1">
      <alignment horizontal="left" vertical="center"/>
      <protection locked="0"/>
    </xf>
    <xf numFmtId="0" fontId="56" fillId="0" borderId="0" xfId="1" applyFont="1" applyFill="1" applyBorder="1" applyAlignment="1" applyProtection="1">
      <alignment horizontal="center" vertical="center"/>
    </xf>
    <xf numFmtId="0" fontId="76" fillId="0" borderId="0" xfId="1" applyFont="1" applyAlignment="1" applyProtection="1">
      <alignment horizontal="left"/>
    </xf>
    <xf numFmtId="0" fontId="5" fillId="0" borderId="25" xfId="1" applyBorder="1" applyProtection="1">
      <protection locked="0"/>
    </xf>
    <xf numFmtId="0" fontId="5" fillId="0" borderId="25" xfId="1" applyFill="1" applyBorder="1" applyProtection="1">
      <protection locked="0"/>
    </xf>
    <xf numFmtId="0" fontId="5" fillId="0" borderId="25" xfId="1" applyFill="1" applyBorder="1" applyAlignment="1" applyProtection="1">
      <protection locked="0"/>
    </xf>
    <xf numFmtId="164" fontId="22" fillId="0" borderId="4" xfId="0" applyNumberFormat="1" applyFont="1" applyFill="1" applyBorder="1" applyAlignment="1" applyProtection="1">
      <alignment horizontal="center" vertical="center" wrapText="1"/>
      <protection locked="0"/>
    </xf>
    <xf numFmtId="0" fontId="16" fillId="0" borderId="0" xfId="0" applyFont="1" applyAlignment="1">
      <alignment horizontal="center" vertical="center" wrapText="1"/>
    </xf>
    <xf numFmtId="1" fontId="78" fillId="28" borderId="25" xfId="0" applyNumberFormat="1" applyFont="1" applyFill="1" applyBorder="1" applyAlignment="1" applyProtection="1">
      <alignment horizontal="center" vertical="center" wrapText="1"/>
      <protection locked="0"/>
    </xf>
    <xf numFmtId="1" fontId="78" fillId="5" borderId="25" xfId="0" applyNumberFormat="1" applyFont="1" applyFill="1" applyBorder="1" applyAlignment="1" applyProtection="1">
      <alignment horizontal="center" vertical="center" wrapText="1"/>
      <protection locked="0"/>
    </xf>
    <xf numFmtId="1" fontId="5" fillId="5" borderId="25" xfId="0" applyNumberFormat="1" applyFont="1" applyFill="1" applyBorder="1" applyAlignment="1" applyProtection="1">
      <alignment horizontal="center" vertical="center"/>
      <protection locked="0"/>
    </xf>
    <xf numFmtId="0" fontId="21" fillId="3" borderId="0" xfId="0" applyFont="1" applyFill="1" applyBorder="1" applyAlignment="1" applyProtection="1">
      <alignment horizontal="center" vertical="center"/>
    </xf>
    <xf numFmtId="0" fontId="15"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xf>
    <xf numFmtId="0" fontId="0" fillId="0" borderId="25" xfId="0" applyBorder="1" applyAlignment="1" applyProtection="1">
      <alignment horizontal="center" vertical="center"/>
    </xf>
    <xf numFmtId="0" fontId="15" fillId="0" borderId="0" xfId="0" applyFont="1" applyAlignment="1">
      <alignment horizontal="center"/>
    </xf>
    <xf numFmtId="9" fontId="0" fillId="24" borderId="25" xfId="0" applyNumberFormat="1" applyFill="1" applyBorder="1" applyAlignment="1">
      <alignment horizontal="center" vertical="center"/>
    </xf>
    <xf numFmtId="164" fontId="0" fillId="24" borderId="25" xfId="0" applyNumberFormat="1" applyFill="1" applyBorder="1" applyAlignment="1">
      <alignment horizontal="center" vertical="center"/>
    </xf>
    <xf numFmtId="0" fontId="15" fillId="3" borderId="25" xfId="0" applyFont="1" applyFill="1" applyBorder="1" applyAlignment="1" applyProtection="1">
      <alignment horizontal="center" vertical="center"/>
      <protection locked="0"/>
    </xf>
    <xf numFmtId="0" fontId="5" fillId="0" borderId="0" xfId="1" applyAlignment="1">
      <alignment vertical="center"/>
    </xf>
    <xf numFmtId="0" fontId="20" fillId="0" borderId="0" xfId="1" applyFont="1" applyAlignment="1">
      <alignment vertical="center"/>
    </xf>
    <xf numFmtId="0" fontId="80" fillId="13" borderId="25" xfId="1" applyFont="1" applyFill="1" applyBorder="1" applyAlignment="1" applyProtection="1">
      <alignment horizontal="center"/>
      <protection locked="0"/>
    </xf>
    <xf numFmtId="0" fontId="11" fillId="0" borderId="0" xfId="1" applyFont="1"/>
    <xf numFmtId="0" fontId="11" fillId="0" borderId="0" xfId="1" applyFont="1" applyBorder="1" applyAlignment="1">
      <alignment horizontal="center"/>
    </xf>
    <xf numFmtId="0" fontId="20" fillId="0" borderId="0" xfId="1" applyFont="1" applyFill="1" applyBorder="1" applyAlignment="1" applyProtection="1">
      <alignment horizontal="center"/>
    </xf>
    <xf numFmtId="0" fontId="22" fillId="0" borderId="0" xfId="1" applyFont="1" applyFill="1" applyProtection="1"/>
    <xf numFmtId="1" fontId="5" fillId="0" borderId="0" xfId="1" applyNumberFormat="1" applyFont="1" applyFill="1" applyBorder="1" applyAlignment="1" applyProtection="1">
      <alignment horizontal="left"/>
      <protection locked="0"/>
    </xf>
    <xf numFmtId="0" fontId="5" fillId="0" borderId="0" xfId="1" applyFont="1" applyAlignment="1" applyProtection="1">
      <alignment horizontal="center"/>
    </xf>
    <xf numFmtId="0" fontId="5" fillId="0" borderId="0" xfId="1" applyFont="1" applyFill="1" applyAlignment="1" applyProtection="1">
      <alignment horizontal="center" vertical="center"/>
    </xf>
    <xf numFmtId="0" fontId="5" fillId="0" borderId="0" xfId="1" applyFont="1" applyFill="1" applyAlignment="1" applyProtection="1">
      <alignment horizontal="center"/>
    </xf>
    <xf numFmtId="1" fontId="20" fillId="0" borderId="0" xfId="1" applyNumberFormat="1" applyFont="1" applyFill="1" applyBorder="1" applyAlignment="1" applyProtection="1">
      <alignment horizontal="left"/>
      <protection locked="0"/>
    </xf>
    <xf numFmtId="0" fontId="20" fillId="0" borderId="0" xfId="1" applyFont="1" applyAlignment="1" applyProtection="1">
      <alignment horizontal="center"/>
    </xf>
    <xf numFmtId="0" fontId="5" fillId="0" borderId="0" xfId="1" applyFont="1" applyAlignment="1">
      <alignment horizontal="center"/>
    </xf>
    <xf numFmtId="0" fontId="77" fillId="0" borderId="0" xfId="1" applyFont="1" applyAlignment="1">
      <alignment horizontal="center" vertical="center" textRotation="180"/>
    </xf>
    <xf numFmtId="0" fontId="5" fillId="0" borderId="27" xfId="1" applyFont="1" applyBorder="1"/>
    <xf numFmtId="0" fontId="5" fillId="0" borderId="27" xfId="1" applyFont="1" applyBorder="1" applyAlignment="1">
      <alignment horizontal="center"/>
    </xf>
    <xf numFmtId="0" fontId="5" fillId="0" borderId="26" xfId="1" applyFont="1" applyBorder="1"/>
    <xf numFmtId="0" fontId="77" fillId="14" borderId="25" xfId="1" applyFont="1" applyFill="1" applyBorder="1" applyAlignment="1" applyProtection="1">
      <alignment horizontal="center" vertical="center" wrapText="1"/>
      <protection locked="0"/>
    </xf>
    <xf numFmtId="0" fontId="5" fillId="24" borderId="0" xfId="1" applyFont="1" applyFill="1"/>
    <xf numFmtId="0" fontId="77" fillId="24" borderId="27" xfId="1" applyFont="1" applyFill="1" applyBorder="1" applyAlignment="1">
      <alignment horizontal="center" vertical="center" wrapText="1"/>
    </xf>
    <xf numFmtId="0" fontId="77" fillId="0" borderId="27" xfId="1" applyFont="1" applyBorder="1" applyAlignment="1">
      <alignment horizontal="center" vertical="center"/>
    </xf>
    <xf numFmtId="0" fontId="77" fillId="0" borderId="26" xfId="1" applyFont="1" applyBorder="1" applyAlignment="1">
      <alignment vertical="center"/>
    </xf>
    <xf numFmtId="0" fontId="77" fillId="2" borderId="25" xfId="1" applyFont="1" applyFill="1" applyBorder="1" applyAlignment="1" applyProtection="1">
      <alignment horizontal="center" vertical="center"/>
      <protection locked="0"/>
    </xf>
    <xf numFmtId="0" fontId="77" fillId="0" borderId="26" xfId="1" applyFont="1" applyBorder="1" applyAlignment="1">
      <alignment vertical="center" wrapText="1"/>
    </xf>
    <xf numFmtId="0" fontId="77" fillId="0" borderId="27" xfId="1" applyFont="1" applyBorder="1" applyAlignment="1">
      <alignment textRotation="180" wrapText="1"/>
    </xf>
    <xf numFmtId="0" fontId="5" fillId="0" borderId="0" xfId="1" applyFont="1" applyAlignment="1">
      <alignment wrapText="1"/>
    </xf>
    <xf numFmtId="0" fontId="77" fillId="0" borderId="0" xfId="1" applyFont="1"/>
    <xf numFmtId="0" fontId="83" fillId="0" borderId="25" xfId="1" applyFont="1" applyFill="1" applyBorder="1" applyAlignment="1">
      <alignment horizontal="center" vertical="center"/>
    </xf>
    <xf numFmtId="0" fontId="77" fillId="2" borderId="25" xfId="1" applyFont="1" applyFill="1" applyBorder="1" applyAlignment="1">
      <alignment horizontal="center" vertical="center"/>
    </xf>
    <xf numFmtId="0" fontId="77" fillId="0" borderId="0" xfId="1" applyFont="1" applyAlignment="1">
      <alignment horizontal="center" vertical="center"/>
    </xf>
    <xf numFmtId="0" fontId="77" fillId="0" borderId="0" xfId="1" applyFont="1" applyAlignment="1">
      <alignment vertical="center"/>
    </xf>
    <xf numFmtId="0" fontId="77" fillId="24" borderId="25" xfId="1" applyFont="1" applyFill="1" applyBorder="1" applyAlignment="1" applyProtection="1">
      <alignment horizontal="center" vertical="center" textRotation="180" wrapText="1"/>
    </xf>
    <xf numFmtId="0" fontId="77" fillId="0" borderId="25" xfId="1" applyFont="1" applyBorder="1" applyAlignment="1">
      <alignment horizontal="center" vertical="center"/>
    </xf>
    <xf numFmtId="0" fontId="77" fillId="0" borderId="25" xfId="1" applyFont="1" applyBorder="1" applyAlignment="1">
      <alignment vertical="center"/>
    </xf>
    <xf numFmtId="0" fontId="77" fillId="0" borderId="25" xfId="1" applyFont="1" applyBorder="1" applyAlignment="1">
      <alignment vertical="center" wrapText="1"/>
    </xf>
    <xf numFmtId="0" fontId="83" fillId="0" borderId="25" xfId="1" applyFont="1" applyBorder="1" applyAlignment="1">
      <alignment vertical="center"/>
    </xf>
    <xf numFmtId="0" fontId="77" fillId="0" borderId="25" xfId="1" applyFont="1" applyBorder="1" applyAlignment="1">
      <alignment horizontal="center" vertical="center" textRotation="180"/>
    </xf>
    <xf numFmtId="0" fontId="5" fillId="0" borderId="25" xfId="1" applyFont="1" applyBorder="1" applyAlignment="1">
      <alignment horizontal="center" vertical="center" textRotation="180"/>
    </xf>
    <xf numFmtId="0" fontId="77" fillId="0" borderId="25" xfId="1" applyFont="1" applyBorder="1" applyAlignment="1">
      <alignment horizontal="center" vertical="top" textRotation="180" wrapText="1"/>
    </xf>
    <xf numFmtId="0" fontId="77" fillId="0" borderId="26" xfId="1" applyFont="1" applyBorder="1" applyAlignment="1">
      <alignment horizontal="center" vertical="top" textRotation="180" wrapText="1"/>
    </xf>
    <xf numFmtId="0" fontId="5" fillId="0" borderId="11" xfId="1" applyFont="1" applyBorder="1"/>
    <xf numFmtId="0" fontId="77" fillId="24" borderId="26" xfId="1" applyFont="1" applyFill="1" applyBorder="1" applyAlignment="1" applyProtection="1">
      <alignment horizontal="center" vertical="center" textRotation="180" wrapText="1"/>
    </xf>
    <xf numFmtId="0" fontId="77" fillId="24" borderId="11" xfId="1" applyFont="1" applyFill="1" applyBorder="1" applyAlignment="1">
      <alignment horizontal="center" vertical="center" wrapText="1"/>
    </xf>
    <xf numFmtId="0" fontId="77" fillId="24" borderId="26" xfId="1" applyFont="1" applyFill="1" applyBorder="1" applyAlignment="1">
      <alignment horizontal="center" vertical="center" wrapText="1"/>
    </xf>
    <xf numFmtId="0" fontId="77" fillId="0" borderId="26" xfId="1" applyFont="1" applyFill="1" applyBorder="1" applyAlignment="1" applyProtection="1">
      <alignment horizontal="center" vertical="center" textRotation="180" wrapText="1"/>
      <protection locked="0"/>
    </xf>
    <xf numFmtId="0" fontId="77" fillId="0" borderId="31" xfId="1" applyFont="1" applyBorder="1" applyAlignment="1">
      <alignment horizontal="center" vertical="center" textRotation="180"/>
    </xf>
    <xf numFmtId="0" fontId="77" fillId="0" borderId="31" xfId="1" applyFont="1" applyBorder="1" applyAlignment="1">
      <alignment horizontal="center" vertical="center"/>
    </xf>
    <xf numFmtId="0" fontId="83" fillId="0" borderId="31" xfId="1" applyFont="1" applyBorder="1" applyAlignment="1">
      <alignment vertical="center"/>
    </xf>
    <xf numFmtId="0" fontId="5" fillId="0" borderId="11" xfId="1" applyFont="1" applyBorder="1" applyAlignment="1">
      <alignment wrapText="1"/>
    </xf>
    <xf numFmtId="0" fontId="77" fillId="0" borderId="27" xfId="1" applyFont="1" applyBorder="1" applyAlignment="1">
      <alignment horizontal="center" vertical="center" wrapText="1"/>
    </xf>
    <xf numFmtId="0" fontId="77" fillId="0" borderId="26" xfId="1" applyFont="1" applyBorder="1" applyAlignment="1" applyProtection="1">
      <alignment horizontal="center" vertical="center" textRotation="180"/>
    </xf>
    <xf numFmtId="0" fontId="5" fillId="0" borderId="31" xfId="1" applyFont="1" applyBorder="1" applyAlignment="1">
      <alignment horizontal="center" vertical="center" textRotation="180"/>
    </xf>
    <xf numFmtId="0" fontId="77" fillId="0" borderId="31" xfId="1" applyFont="1" applyBorder="1" applyAlignment="1">
      <alignment vertical="center"/>
    </xf>
    <xf numFmtId="165" fontId="0" fillId="6" borderId="26" xfId="0" applyNumberFormat="1" applyFill="1" applyBorder="1" applyAlignment="1" applyProtection="1">
      <alignment horizontal="center" vertical="center"/>
      <protection locked="0"/>
    </xf>
    <xf numFmtId="0" fontId="6" fillId="0" borderId="31" xfId="0" applyFont="1" applyBorder="1" applyAlignment="1">
      <alignment horizontal="left" vertical="center"/>
    </xf>
    <xf numFmtId="0" fontId="5" fillId="0" borderId="31" xfId="0" applyFont="1" applyBorder="1" applyAlignment="1">
      <alignment horizontal="center" vertical="center"/>
    </xf>
    <xf numFmtId="0" fontId="0" fillId="0" borderId="26" xfId="0" applyBorder="1" applyAlignment="1" applyProtection="1">
      <alignment horizontal="center" vertical="center"/>
    </xf>
    <xf numFmtId="164" fontId="0" fillId="4" borderId="25" xfId="0" applyNumberFormat="1" applyFill="1" applyBorder="1" applyAlignment="1" applyProtection="1">
      <alignment horizontal="center" vertical="center"/>
      <protection locked="0"/>
    </xf>
    <xf numFmtId="164" fontId="0" fillId="24" borderId="4" xfId="0" applyNumberFormat="1" applyFill="1" applyBorder="1" applyAlignment="1" applyProtection="1">
      <alignment horizontal="center" vertical="center"/>
      <protection locked="0"/>
    </xf>
    <xf numFmtId="0" fontId="0" fillId="24" borderId="4" xfId="0"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5" fillId="0" borderId="35"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5" fillId="4" borderId="8" xfId="0" applyFont="1" applyFill="1" applyBorder="1" applyAlignment="1" applyProtection="1">
      <alignment horizontal="center" vertical="center"/>
      <protection locked="0"/>
    </xf>
    <xf numFmtId="164" fontId="0" fillId="0" borderId="4" xfId="0" applyNumberFormat="1" applyFill="1" applyBorder="1" applyAlignment="1" applyProtection="1">
      <alignment horizontal="center" vertical="center"/>
      <protection locked="0"/>
    </xf>
    <xf numFmtId="0" fontId="16" fillId="0" borderId="0" xfId="1" applyFont="1" applyAlignment="1" applyProtection="1">
      <alignment horizontal="center" vertical="center"/>
    </xf>
    <xf numFmtId="0" fontId="56" fillId="0" borderId="0" xfId="1" applyFont="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5" fillId="30" borderId="2" xfId="0" applyFont="1" applyFill="1" applyBorder="1" applyAlignment="1" applyProtection="1">
      <alignment horizontal="center" textRotation="90"/>
      <protection locked="0"/>
    </xf>
    <xf numFmtId="0" fontId="5" fillId="30" borderId="9" xfId="0" applyFont="1" applyFill="1" applyBorder="1" applyAlignment="1" applyProtection="1">
      <alignment horizontal="center" textRotation="90"/>
      <protection locked="0"/>
    </xf>
    <xf numFmtId="0" fontId="5" fillId="29" borderId="9" xfId="0" applyFont="1" applyFill="1" applyBorder="1" applyAlignment="1" applyProtection="1">
      <alignment horizontal="center" textRotation="90"/>
      <protection locked="0"/>
    </xf>
    <xf numFmtId="0" fontId="5" fillId="5" borderId="9" xfId="0" applyFont="1" applyFill="1" applyBorder="1" applyAlignment="1" applyProtection="1">
      <alignment horizontal="center" textRotation="90"/>
      <protection locked="0"/>
    </xf>
    <xf numFmtId="0" fontId="5" fillId="20" borderId="21" xfId="0" applyFont="1" applyFill="1" applyBorder="1" applyAlignment="1" applyProtection="1">
      <alignment horizontal="center" textRotation="90"/>
      <protection locked="0"/>
    </xf>
    <xf numFmtId="0" fontId="73" fillId="19" borderId="43" xfId="1" applyFont="1" applyFill="1" applyBorder="1" applyAlignment="1" applyProtection="1">
      <alignment horizontal="center" vertical="center"/>
      <protection locked="0"/>
    </xf>
    <xf numFmtId="0" fontId="36" fillId="31" borderId="2" xfId="1" applyFont="1" applyFill="1" applyBorder="1" applyAlignment="1">
      <alignment horizontal="center" textRotation="90"/>
    </xf>
    <xf numFmtId="0" fontId="5" fillId="18" borderId="9" xfId="1" applyFont="1" applyFill="1" applyBorder="1" applyAlignment="1">
      <alignment horizontal="center" textRotation="90"/>
    </xf>
    <xf numFmtId="0" fontId="36" fillId="13" borderId="9" xfId="1" applyFont="1" applyFill="1" applyBorder="1" applyAlignment="1" applyProtection="1">
      <alignment horizontal="center" textRotation="90"/>
      <protection locked="0"/>
    </xf>
    <xf numFmtId="0" fontId="5" fillId="0" borderId="21" xfId="1" applyFont="1" applyFill="1" applyBorder="1" applyAlignment="1">
      <alignment horizontal="center" textRotation="90"/>
    </xf>
    <xf numFmtId="0" fontId="5" fillId="0" borderId="2" xfId="1" applyBorder="1" applyAlignment="1" applyProtection="1">
      <alignment horizontal="center" textRotation="90"/>
    </xf>
    <xf numFmtId="0" fontId="5" fillId="0" borderId="21" xfId="1" applyBorder="1" applyAlignment="1" applyProtection="1">
      <alignment horizontal="center" textRotation="90"/>
    </xf>
    <xf numFmtId="0" fontId="5" fillId="6" borderId="4" xfId="1" applyFill="1" applyBorder="1" applyAlignment="1" applyProtection="1">
      <alignment horizontal="center" vertical="center"/>
      <protection locked="0"/>
    </xf>
    <xf numFmtId="0" fontId="5" fillId="6" borderId="7" xfId="1" applyFill="1" applyBorder="1" applyAlignment="1" applyProtection="1">
      <alignment horizontal="center" vertical="center"/>
      <protection locked="0"/>
    </xf>
    <xf numFmtId="0" fontId="5" fillId="6" borderId="5" xfId="1" applyFill="1" applyBorder="1" applyAlignment="1" applyProtection="1">
      <alignment horizontal="center" vertical="center"/>
      <protection locked="0"/>
    </xf>
    <xf numFmtId="0" fontId="5" fillId="6" borderId="8" xfId="1" applyFill="1" applyBorder="1" applyAlignment="1" applyProtection="1">
      <alignment horizontal="center" vertical="center"/>
      <protection locked="0"/>
    </xf>
    <xf numFmtId="0" fontId="5" fillId="0" borderId="36" xfId="1" applyBorder="1" applyProtection="1"/>
    <xf numFmtId="0" fontId="5" fillId="0" borderId="37" xfId="1" applyBorder="1" applyProtection="1"/>
    <xf numFmtId="0" fontId="5" fillId="6" borderId="21" xfId="1" applyFill="1" applyBorder="1" applyProtection="1">
      <protection locked="0"/>
    </xf>
    <xf numFmtId="0" fontId="5" fillId="0" borderId="66" xfId="1" applyBorder="1" applyAlignment="1" applyProtection="1">
      <alignment horizontal="center" textRotation="90"/>
    </xf>
    <xf numFmtId="0" fontId="5" fillId="0" borderId="74" xfId="1" applyBorder="1" applyAlignment="1" applyProtection="1">
      <alignment horizontal="center" textRotation="90"/>
    </xf>
    <xf numFmtId="0" fontId="56" fillId="0" borderId="0" xfId="1" applyFont="1" applyBorder="1" applyAlignment="1" applyProtection="1">
      <alignment horizontal="left" vertical="center"/>
    </xf>
    <xf numFmtId="0" fontId="14" fillId="0" borderId="0" xfId="1" applyFont="1" applyBorder="1" applyProtection="1"/>
    <xf numFmtId="0" fontId="56" fillId="0" borderId="0" xfId="1" applyFont="1" applyBorder="1" applyAlignment="1" applyProtection="1">
      <alignment horizontal="center"/>
    </xf>
    <xf numFmtId="0" fontId="50" fillId="22" borderId="19" xfId="1" applyFont="1" applyFill="1" applyBorder="1" applyAlignment="1">
      <alignment horizontal="center"/>
    </xf>
    <xf numFmtId="0" fontId="55" fillId="22" borderId="26" xfId="1" applyFont="1" applyFill="1" applyBorder="1" applyAlignment="1">
      <alignment horizontal="center"/>
    </xf>
    <xf numFmtId="0" fontId="5" fillId="21" borderId="25" xfId="0" applyFont="1" applyFill="1" applyBorder="1" applyAlignment="1" applyProtection="1">
      <alignment horizontal="center" vertical="center"/>
      <protection locked="0"/>
    </xf>
    <xf numFmtId="165" fontId="5" fillId="6" borderId="26" xfId="0" applyNumberFormat="1" applyFont="1" applyFill="1" applyBorder="1" applyAlignment="1" applyProtection="1">
      <alignment horizontal="center" vertical="center"/>
      <protection locked="0"/>
    </xf>
    <xf numFmtId="164" fontId="5" fillId="0" borderId="25" xfId="1" applyNumberFormat="1" applyFont="1" applyFill="1" applyBorder="1" applyAlignment="1" applyProtection="1">
      <alignment horizontal="center" vertical="center"/>
      <protection locked="0"/>
    </xf>
    <xf numFmtId="164" fontId="5" fillId="0" borderId="25" xfId="1" applyNumberFormat="1" applyFill="1" applyBorder="1" applyAlignment="1" applyProtection="1">
      <alignment horizontal="center" vertical="center"/>
      <protection locked="0"/>
    </xf>
    <xf numFmtId="0" fontId="5" fillId="0" borderId="26" xfId="1" applyFont="1" applyFill="1" applyBorder="1" applyAlignment="1" applyProtection="1">
      <alignment horizontal="center" vertical="center"/>
      <protection locked="0"/>
    </xf>
    <xf numFmtId="164" fontId="0" fillId="0" borderId="25" xfId="0" applyNumberFormat="1" applyBorder="1" applyAlignment="1" applyProtection="1">
      <alignment horizontal="center" vertical="center" wrapText="1"/>
      <protection locked="0"/>
    </xf>
    <xf numFmtId="164" fontId="0" fillId="0" borderId="25" xfId="0" applyNumberFormat="1" applyBorder="1" applyAlignment="1">
      <alignment horizontal="center" vertical="center" wrapText="1"/>
    </xf>
    <xf numFmtId="0" fontId="5" fillId="0" borderId="0" xfId="1" applyAlignment="1">
      <alignment horizontal="right" vertical="center"/>
    </xf>
    <xf numFmtId="9" fontId="5" fillId="0" borderId="76" xfId="1" applyNumberFormat="1" applyBorder="1" applyAlignment="1">
      <alignment horizontal="center" vertical="center"/>
    </xf>
    <xf numFmtId="0" fontId="5" fillId="0" borderId="77" xfId="1" applyBorder="1" applyAlignment="1">
      <alignment horizontal="center" vertical="center"/>
    </xf>
    <xf numFmtId="0" fontId="5" fillId="0" borderId="79" xfId="1" applyBorder="1" applyAlignment="1">
      <alignment horizontal="center" vertical="center"/>
    </xf>
    <xf numFmtId="0" fontId="5" fillId="0" borderId="78" xfId="1" applyBorder="1" applyAlignment="1">
      <alignment horizontal="center" vertical="center"/>
    </xf>
    <xf numFmtId="0" fontId="22" fillId="25" borderId="80" xfId="1" applyFont="1" applyFill="1" applyBorder="1" applyAlignment="1">
      <alignment vertical="center"/>
    </xf>
    <xf numFmtId="0" fontId="5" fillId="0" borderId="81" xfId="1" applyBorder="1" applyAlignment="1">
      <alignment horizontal="right" vertical="center"/>
    </xf>
    <xf numFmtId="9" fontId="5" fillId="0" borderId="82" xfId="1" applyNumberFormat="1" applyBorder="1" applyAlignment="1">
      <alignment horizontal="center" vertical="center"/>
    </xf>
    <xf numFmtId="0" fontId="5" fillId="0" borderId="83" xfId="1" applyBorder="1" applyAlignment="1">
      <alignment horizontal="center" vertical="center"/>
    </xf>
    <xf numFmtId="0" fontId="5" fillId="0" borderId="84" xfId="1" applyBorder="1" applyAlignment="1">
      <alignment horizontal="center" vertical="center"/>
    </xf>
    <xf numFmtId="0" fontId="5" fillId="5" borderId="0" xfId="1" applyFill="1" applyAlignment="1">
      <alignment vertical="center"/>
    </xf>
    <xf numFmtId="0" fontId="5" fillId="0" borderId="85" xfId="1" applyBorder="1" applyAlignment="1">
      <alignment horizontal="right" vertical="center"/>
    </xf>
    <xf numFmtId="0" fontId="5" fillId="32" borderId="0" xfId="1" applyFill="1" applyAlignment="1">
      <alignment vertical="center"/>
    </xf>
    <xf numFmtId="9" fontId="5" fillId="0" borderId="86" xfId="1" applyNumberFormat="1" applyBorder="1" applyAlignment="1">
      <alignment horizontal="center" vertical="center"/>
    </xf>
    <xf numFmtId="0" fontId="5" fillId="0" borderId="87" xfId="1" applyBorder="1" applyAlignment="1">
      <alignment horizontal="center" vertical="center"/>
    </xf>
    <xf numFmtId="0" fontId="5" fillId="0" borderId="89" xfId="1" applyBorder="1" applyAlignment="1">
      <alignment horizontal="center" vertical="center"/>
    </xf>
    <xf numFmtId="0" fontId="5" fillId="0" borderId="88" xfId="1" applyBorder="1" applyAlignment="1">
      <alignment horizontal="center" vertical="center"/>
    </xf>
    <xf numFmtId="0" fontId="22" fillId="33" borderId="90" xfId="1" applyFont="1" applyFill="1" applyBorder="1" applyAlignment="1">
      <alignment vertical="center"/>
    </xf>
    <xf numFmtId="0" fontId="5" fillId="0" borderId="91" xfId="1" applyBorder="1" applyAlignment="1">
      <alignment horizontal="right" vertical="center"/>
    </xf>
    <xf numFmtId="0" fontId="5" fillId="0" borderId="92" xfId="1" applyBorder="1" applyAlignment="1" applyProtection="1">
      <alignment horizontal="center" vertical="center"/>
      <protection locked="0"/>
    </xf>
    <xf numFmtId="0" fontId="5" fillId="0" borderId="93" xfId="1" applyBorder="1" applyAlignment="1" applyProtection="1">
      <alignment horizontal="center" vertical="center"/>
      <protection locked="0"/>
    </xf>
    <xf numFmtId="49" fontId="19" fillId="21" borderId="93" xfId="1" applyNumberFormat="1" applyFont="1" applyFill="1" applyBorder="1" applyAlignment="1">
      <alignment horizontal="left" vertical="center" wrapText="1"/>
    </xf>
    <xf numFmtId="0" fontId="5" fillId="0" borderId="94" xfId="1" applyBorder="1" applyAlignment="1">
      <alignment horizontal="right" vertical="center"/>
    </xf>
    <xf numFmtId="0" fontId="5" fillId="0" borderId="95" xfId="1" applyBorder="1" applyAlignment="1" applyProtection="1">
      <alignment horizontal="center" vertical="center"/>
      <protection locked="0"/>
    </xf>
    <xf numFmtId="0" fontId="5" fillId="0" borderId="25" xfId="1" applyBorder="1" applyAlignment="1" applyProtection="1">
      <alignment horizontal="center" vertical="center"/>
      <protection locked="0"/>
    </xf>
    <xf numFmtId="49" fontId="19" fillId="21" borderId="25" xfId="1" applyNumberFormat="1" applyFont="1" applyFill="1" applyBorder="1" applyAlignment="1">
      <alignment horizontal="left" vertical="center" wrapText="1"/>
    </xf>
    <xf numFmtId="0" fontId="5" fillId="0" borderId="96" xfId="1" applyBorder="1" applyAlignment="1">
      <alignment horizontal="right" vertical="center"/>
    </xf>
    <xf numFmtId="0" fontId="5" fillId="0" borderId="97" xfId="1" applyBorder="1"/>
    <xf numFmtId="0" fontId="5" fillId="0" borderId="27" xfId="1" applyBorder="1"/>
    <xf numFmtId="0" fontId="5" fillId="0" borderId="27" xfId="1" applyBorder="1" applyAlignment="1">
      <alignment horizontal="left" vertical="center"/>
    </xf>
    <xf numFmtId="0" fontId="5" fillId="0" borderId="98" xfId="1" applyBorder="1" applyAlignment="1">
      <alignment horizontal="right"/>
    </xf>
    <xf numFmtId="0" fontId="5" fillId="0" borderId="28" xfId="1" applyBorder="1" applyAlignment="1">
      <alignment vertical="center"/>
    </xf>
    <xf numFmtId="0" fontId="5" fillId="0" borderId="84" xfId="1" applyBorder="1" applyAlignment="1">
      <alignment horizontal="right" vertical="center"/>
    </xf>
    <xf numFmtId="0" fontId="22" fillId="25" borderId="28" xfId="1" applyFont="1" applyFill="1" applyBorder="1" applyAlignment="1">
      <alignment vertical="center"/>
    </xf>
    <xf numFmtId="0" fontId="5" fillId="5" borderId="28" xfId="1" applyFill="1" applyBorder="1" applyAlignment="1">
      <alignment vertical="center"/>
    </xf>
    <xf numFmtId="0" fontId="5" fillId="32" borderId="28" xfId="1" applyFill="1" applyBorder="1" applyAlignment="1">
      <alignment vertical="center"/>
    </xf>
    <xf numFmtId="0" fontId="22" fillId="33" borderId="28" xfId="1" applyFont="1" applyFill="1" applyBorder="1" applyAlignment="1">
      <alignment vertical="center"/>
    </xf>
    <xf numFmtId="0" fontId="8" fillId="0" borderId="0" xfId="0" applyFont="1" applyFill="1" applyAlignment="1">
      <alignment horizontal="right" vertical="center"/>
    </xf>
    <xf numFmtId="0" fontId="5" fillId="0" borderId="0" xfId="0" applyFont="1" applyAlignment="1">
      <alignment horizontal="center"/>
    </xf>
    <xf numFmtId="0" fontId="8" fillId="0" borderId="0" xfId="0" applyFont="1" applyAlignment="1">
      <alignment horizontal="center" textRotation="90"/>
    </xf>
    <xf numFmtId="0" fontId="8" fillId="0" borderId="25" xfId="0" applyFont="1" applyBorder="1" applyAlignment="1">
      <alignment horizontal="center" textRotation="90"/>
    </xf>
    <xf numFmtId="164" fontId="0" fillId="0" borderId="0" xfId="0" applyNumberFormat="1" applyAlignment="1">
      <alignment horizontal="center" vertical="center"/>
    </xf>
    <xf numFmtId="164" fontId="5" fillId="0" borderId="25" xfId="0" applyNumberFormat="1" applyFont="1" applyBorder="1" applyAlignment="1" applyProtection="1">
      <alignment horizontal="center" vertical="center"/>
      <protection locked="0"/>
    </xf>
    <xf numFmtId="0" fontId="7" fillId="0" borderId="0" xfId="0" applyFont="1" applyAlignment="1">
      <alignment horizontal="center" vertical="center"/>
    </xf>
    <xf numFmtId="166" fontId="7" fillId="0" borderId="0" xfId="0" applyNumberFormat="1" applyFont="1" applyAlignment="1">
      <alignment horizontal="center" vertical="center"/>
    </xf>
    <xf numFmtId="0" fontId="20" fillId="0" borderId="0" xfId="0" applyFont="1" applyAlignment="1">
      <alignment horizontal="center" vertical="center"/>
    </xf>
    <xf numFmtId="0" fontId="1" fillId="0" borderId="104" xfId="7" applyBorder="1"/>
    <xf numFmtId="9" fontId="85" fillId="0" borderId="0" xfId="7" applyNumberFormat="1" applyFont="1" applyAlignment="1">
      <alignment horizontal="center" vertical="center"/>
    </xf>
    <xf numFmtId="0" fontId="1" fillId="0" borderId="0" xfId="7"/>
    <xf numFmtId="9" fontId="87" fillId="0" borderId="0" xfId="7" applyNumberFormat="1" applyFont="1" applyAlignment="1">
      <alignment horizontal="center" vertical="center"/>
    </xf>
    <xf numFmtId="0" fontId="1" fillId="0" borderId="0" xfId="7" applyAlignment="1">
      <alignment vertical="center"/>
    </xf>
    <xf numFmtId="0" fontId="86" fillId="6" borderId="110" xfId="7" applyFont="1" applyFill="1" applyBorder="1" applyAlignment="1" applyProtection="1">
      <alignment horizontal="center" vertical="center"/>
      <protection locked="0"/>
    </xf>
    <xf numFmtId="0" fontId="86" fillId="24" borderId="110" xfId="7" applyFont="1" applyFill="1" applyBorder="1" applyAlignment="1">
      <alignment horizontal="left" vertical="center"/>
    </xf>
    <xf numFmtId="9" fontId="85" fillId="0" borderId="0" xfId="7" applyNumberFormat="1" applyFont="1" applyAlignment="1">
      <alignment vertical="center"/>
    </xf>
    <xf numFmtId="0" fontId="88" fillId="0" borderId="0" xfId="7" applyFont="1" applyAlignment="1">
      <alignment horizontal="left" vertical="center"/>
    </xf>
    <xf numFmtId="0" fontId="86" fillId="0" borderId="0" xfId="7" applyFont="1" applyAlignment="1">
      <alignment horizontal="center" vertical="center"/>
    </xf>
    <xf numFmtId="9" fontId="87" fillId="0" borderId="0" xfId="7" applyNumberFormat="1" applyFont="1" applyAlignment="1" applyProtection="1">
      <alignment horizontal="center"/>
      <protection locked="0"/>
    </xf>
    <xf numFmtId="0" fontId="86" fillId="0" borderId="111" xfId="7" applyFont="1" applyBorder="1" applyAlignment="1">
      <alignment horizontal="center" vertical="center"/>
    </xf>
    <xf numFmtId="0" fontId="89" fillId="0" borderId="112" xfId="7" applyFont="1" applyBorder="1" applyAlignment="1">
      <alignment horizontal="left" vertical="center"/>
    </xf>
    <xf numFmtId="9" fontId="89" fillId="0" borderId="113" xfId="7" applyNumberFormat="1" applyFont="1" applyBorder="1" applyAlignment="1">
      <alignment horizontal="center" vertical="center"/>
    </xf>
    <xf numFmtId="0" fontId="87" fillId="0" borderId="0" xfId="7" applyFont="1" applyAlignment="1">
      <alignment horizontal="left" vertical="center"/>
    </xf>
    <xf numFmtId="9" fontId="88" fillId="0" borderId="0" xfId="7" applyNumberFormat="1" applyFont="1" applyAlignment="1">
      <alignment horizontal="center" vertical="center"/>
    </xf>
    <xf numFmtId="0" fontId="90" fillId="0" borderId="114" xfId="7" applyFont="1" applyBorder="1" applyAlignment="1">
      <alignment horizontal="left" vertical="center"/>
    </xf>
    <xf numFmtId="9" fontId="92" fillId="0" borderId="115" xfId="8" applyFont="1" applyBorder="1" applyAlignment="1" applyProtection="1">
      <alignment horizontal="center" vertical="center"/>
    </xf>
    <xf numFmtId="166" fontId="93" fillId="0" borderId="0" xfId="8" applyNumberFormat="1" applyFont="1" applyBorder="1" applyAlignment="1" applyProtection="1">
      <alignment horizontal="center" vertical="center"/>
    </xf>
    <xf numFmtId="0" fontId="86" fillId="0" borderId="116" xfId="7" applyFont="1" applyBorder="1" applyAlignment="1">
      <alignment horizontal="center" vertical="center"/>
    </xf>
    <xf numFmtId="0" fontId="94" fillId="0" borderId="117" xfId="7" applyFont="1" applyBorder="1" applyAlignment="1">
      <alignment horizontal="left" vertical="center"/>
    </xf>
    <xf numFmtId="9" fontId="95" fillId="0" borderId="118" xfId="8" applyFont="1" applyBorder="1" applyAlignment="1" applyProtection="1">
      <alignment horizontal="center" vertical="center"/>
    </xf>
    <xf numFmtId="0" fontId="96" fillId="0" borderId="0" xfId="7" applyFont="1" applyAlignment="1">
      <alignment horizontal="left"/>
    </xf>
    <xf numFmtId="0" fontId="97" fillId="0" borderId="119" xfId="7" applyFont="1" applyBorder="1" applyAlignment="1">
      <alignment horizontal="center" vertical="center"/>
    </xf>
    <xf numFmtId="9" fontId="98" fillId="0" borderId="120" xfId="8" applyFont="1" applyBorder="1" applyAlignment="1" applyProtection="1">
      <alignment horizontal="center" vertical="center"/>
    </xf>
    <xf numFmtId="9" fontId="94" fillId="0" borderId="0" xfId="7" applyNumberFormat="1" applyFont="1" applyAlignment="1">
      <alignment vertical="center"/>
    </xf>
    <xf numFmtId="9" fontId="86" fillId="0" borderId="0" xfId="7" applyNumberFormat="1" applyFont="1" applyAlignment="1">
      <alignment vertical="center"/>
    </xf>
    <xf numFmtId="0" fontId="94" fillId="0" borderId="0" xfId="7" applyFont="1" applyAlignment="1">
      <alignment vertical="center"/>
    </xf>
    <xf numFmtId="0" fontId="86" fillId="0" borderId="0" xfId="7" applyFont="1" applyAlignment="1">
      <alignment vertical="center"/>
    </xf>
    <xf numFmtId="0" fontId="94" fillId="0" borderId="0" xfId="7" applyFont="1" applyAlignment="1">
      <alignment horizontal="center" vertical="center"/>
    </xf>
    <xf numFmtId="0" fontId="1" fillId="0" borderId="0" xfId="7" applyAlignment="1">
      <alignment horizontal="center" vertical="center"/>
    </xf>
    <xf numFmtId="9" fontId="87" fillId="0" borderId="13" xfId="7" applyNumberFormat="1" applyFont="1" applyBorder="1" applyAlignment="1" applyProtection="1">
      <alignment horizontal="center"/>
      <protection locked="0"/>
    </xf>
    <xf numFmtId="0" fontId="86" fillId="0" borderId="46" xfId="7" applyFont="1" applyBorder="1" applyAlignment="1">
      <alignment horizontal="center" vertical="center"/>
    </xf>
    <xf numFmtId="0" fontId="86" fillId="0" borderId="13" xfId="7" applyFont="1" applyBorder="1" applyAlignment="1">
      <alignment horizontal="center" vertical="center"/>
    </xf>
    <xf numFmtId="0" fontId="86" fillId="0" borderId="47" xfId="7" applyFont="1" applyBorder="1" applyAlignment="1">
      <alignment horizontal="center" vertical="center"/>
    </xf>
    <xf numFmtId="0" fontId="86" fillId="0" borderId="14" xfId="7" applyFont="1" applyBorder="1" applyAlignment="1">
      <alignment horizontal="center" vertical="center"/>
    </xf>
    <xf numFmtId="0" fontId="99" fillId="12" borderId="45" xfId="7" applyFont="1" applyFill="1" applyBorder="1" applyAlignment="1">
      <alignment horizontal="center" vertical="center"/>
    </xf>
    <xf numFmtId="166" fontId="99" fillId="0" borderId="6" xfId="7" applyNumberFormat="1" applyFont="1" applyBorder="1" applyAlignment="1" applyProtection="1">
      <alignment horizontal="center"/>
      <protection locked="0"/>
    </xf>
    <xf numFmtId="0" fontId="99" fillId="12" borderId="46" xfId="7" applyFont="1" applyFill="1" applyBorder="1" applyAlignment="1">
      <alignment horizontal="center" vertical="center"/>
    </xf>
    <xf numFmtId="166" fontId="99" fillId="0" borderId="13" xfId="7" applyNumberFormat="1" applyFont="1" applyBorder="1" applyAlignment="1" applyProtection="1">
      <alignment horizontal="center"/>
      <protection locked="0"/>
    </xf>
    <xf numFmtId="166" fontId="99" fillId="0" borderId="6" xfId="7" applyNumberFormat="1" applyFont="1" applyBorder="1" applyAlignment="1" applyProtection="1">
      <alignment horizontal="center" vertical="center"/>
      <protection locked="0"/>
    </xf>
    <xf numFmtId="0" fontId="100" fillId="34" borderId="47" xfId="7" applyFont="1" applyFill="1" applyBorder="1" applyAlignment="1">
      <alignment horizontal="center" vertical="center"/>
    </xf>
    <xf numFmtId="166" fontId="99" fillId="0" borderId="14" xfId="7" applyNumberFormat="1" applyFont="1" applyBorder="1" applyAlignment="1" applyProtection="1">
      <alignment horizontal="center"/>
      <protection locked="0"/>
    </xf>
    <xf numFmtId="166" fontId="99" fillId="0" borderId="14" xfId="7" applyNumberFormat="1" applyFont="1" applyBorder="1" applyAlignment="1" applyProtection="1">
      <alignment horizontal="center" vertical="center"/>
      <protection locked="0"/>
    </xf>
    <xf numFmtId="0" fontId="99" fillId="0" borderId="46" xfId="7" applyFont="1" applyBorder="1" applyAlignment="1">
      <alignment horizontal="center" vertical="center"/>
    </xf>
    <xf numFmtId="0" fontId="99" fillId="0" borderId="13" xfId="7" applyFont="1" applyBorder="1" applyAlignment="1" applyProtection="1">
      <alignment horizontal="center"/>
      <protection locked="0"/>
    </xf>
    <xf numFmtId="0" fontId="99" fillId="0" borderId="13" xfId="7" applyFont="1" applyBorder="1" applyAlignment="1" applyProtection="1">
      <alignment horizontal="center" vertical="center"/>
      <protection locked="0"/>
    </xf>
    <xf numFmtId="0" fontId="1" fillId="0" borderId="121" xfId="7" applyBorder="1"/>
    <xf numFmtId="0" fontId="99" fillId="26" borderId="45" xfId="7" applyFont="1" applyFill="1" applyBorder="1" applyAlignment="1">
      <alignment horizontal="center" vertical="center"/>
    </xf>
    <xf numFmtId="166" fontId="99" fillId="0" borderId="6" xfId="7" applyNumberFormat="1" applyFont="1" applyBorder="1" applyAlignment="1">
      <alignment horizontal="center" vertical="center"/>
    </xf>
    <xf numFmtId="9" fontId="87" fillId="0" borderId="13" xfId="7" applyNumberFormat="1" applyFont="1" applyBorder="1" applyAlignment="1">
      <alignment horizontal="center" vertical="center"/>
    </xf>
    <xf numFmtId="0" fontId="100" fillId="35" borderId="47" xfId="7" applyFont="1" applyFill="1" applyBorder="1" applyAlignment="1">
      <alignment horizontal="center" vertical="center"/>
    </xf>
    <xf numFmtId="166" fontId="99" fillId="0" borderId="14" xfId="7" applyNumberFormat="1" applyFont="1" applyBorder="1" applyAlignment="1">
      <alignment horizontal="center" vertical="center"/>
    </xf>
    <xf numFmtId="0" fontId="1" fillId="0" borderId="46" xfId="7" applyBorder="1"/>
    <xf numFmtId="0" fontId="1" fillId="0" borderId="13" xfId="7" applyBorder="1"/>
    <xf numFmtId="0" fontId="1" fillId="0" borderId="13" xfId="7" applyBorder="1" applyAlignment="1">
      <alignment horizontal="center" vertical="center"/>
    </xf>
    <xf numFmtId="0" fontId="99" fillId="36" borderId="45" xfId="7" applyFont="1" applyFill="1" applyBorder="1" applyAlignment="1">
      <alignment horizontal="center" vertical="center"/>
    </xf>
    <xf numFmtId="0" fontId="100" fillId="37" borderId="47" xfId="7" applyFont="1" applyFill="1" applyBorder="1" applyAlignment="1">
      <alignment horizontal="center" vertical="center"/>
    </xf>
    <xf numFmtId="0" fontId="1" fillId="0" borderId="15" xfId="7" applyBorder="1"/>
    <xf numFmtId="0" fontId="88" fillId="0" borderId="0" xfId="7" applyFont="1" applyAlignment="1">
      <alignment horizontal="center"/>
    </xf>
    <xf numFmtId="0" fontId="88" fillId="0" borderId="0" xfId="7" applyFont="1"/>
    <xf numFmtId="168" fontId="0" fillId="0" borderId="0" xfId="9" applyNumberFormat="1" applyFont="1" applyBorder="1" applyProtection="1"/>
    <xf numFmtId="0" fontId="91" fillId="0" borderId="0" xfId="10"/>
    <xf numFmtId="169" fontId="0" fillId="0" borderId="0" xfId="9" applyNumberFormat="1" applyFont="1" applyBorder="1" applyProtection="1"/>
    <xf numFmtId="166" fontId="91" fillId="0" borderId="0" xfId="10" applyNumberFormat="1"/>
    <xf numFmtId="166" fontId="91" fillId="0" borderId="0" xfId="8" applyNumberFormat="1"/>
    <xf numFmtId="0" fontId="20" fillId="0" borderId="0" xfId="1" applyFont="1" applyFill="1" applyBorder="1" applyAlignment="1" applyProtection="1">
      <alignment horizontal="center"/>
    </xf>
    <xf numFmtId="164" fontId="5" fillId="0" borderId="0" xfId="1" applyNumberFormat="1" applyFont="1" applyFill="1" applyBorder="1" applyAlignment="1" applyProtection="1">
      <alignment horizontal="center" vertical="center"/>
    </xf>
    <xf numFmtId="0" fontId="20" fillId="0" borderId="0" xfId="0" applyFont="1" applyAlignment="1">
      <alignment horizontal="center"/>
    </xf>
    <xf numFmtId="0" fontId="22" fillId="0" borderId="0" xfId="0" applyFont="1" applyAlignment="1">
      <alignment vertical="center"/>
    </xf>
    <xf numFmtId="0" fontId="22" fillId="0" borderId="0" xfId="0" applyFont="1" applyFill="1" applyBorder="1" applyAlignment="1">
      <alignment vertical="center"/>
    </xf>
    <xf numFmtId="164" fontId="22" fillId="0" borderId="0" xfId="0" applyNumberFormat="1" applyFont="1" applyFill="1" applyBorder="1" applyAlignment="1" applyProtection="1">
      <alignment horizontal="center" vertical="center"/>
      <protection locked="0"/>
    </xf>
    <xf numFmtId="0" fontId="5" fillId="0" borderId="0" xfId="1" applyFont="1" applyAlignment="1" applyProtection="1">
      <alignment horizontal="right" vertical="center"/>
    </xf>
    <xf numFmtId="0" fontId="5" fillId="0" borderId="0" xfId="1" applyFont="1" applyAlignment="1" applyProtection="1">
      <alignment vertical="center"/>
    </xf>
    <xf numFmtId="0" fontId="5" fillId="0" borderId="0" xfId="1" applyFont="1" applyAlignment="1" applyProtection="1">
      <alignment horizontal="left" vertical="center"/>
    </xf>
    <xf numFmtId="0" fontId="25" fillId="0" borderId="0" xfId="1" applyFont="1" applyFill="1" applyAlignment="1" applyProtection="1">
      <alignment vertical="center"/>
    </xf>
    <xf numFmtId="0" fontId="44" fillId="0" borderId="0" xfId="1" applyFont="1" applyFill="1" applyAlignment="1" applyProtection="1">
      <alignment horizontal="center" vertical="center"/>
    </xf>
    <xf numFmtId="0" fontId="5" fillId="0" borderId="0" xfId="1" applyFont="1" applyFill="1" applyAlignment="1" applyProtection="1">
      <alignment horizontal="right" vertical="center"/>
    </xf>
    <xf numFmtId="0" fontId="16" fillId="0" borderId="0" xfId="1" applyFont="1" applyFill="1" applyAlignment="1" applyProtection="1">
      <alignment horizontal="center" vertical="center"/>
    </xf>
    <xf numFmtId="0" fontId="5" fillId="0" borderId="0" xfId="1" applyFont="1" applyFill="1" applyAlignment="1" applyProtection="1">
      <alignment horizontal="left" vertical="center"/>
    </xf>
    <xf numFmtId="0" fontId="45" fillId="0" borderId="0" xfId="1" applyFont="1" applyFill="1" applyBorder="1" applyAlignment="1" applyProtection="1">
      <alignment horizontal="center" vertical="center"/>
    </xf>
    <xf numFmtId="0" fontId="46" fillId="0" borderId="0" xfId="1" applyFont="1" applyFill="1" applyBorder="1" applyAlignment="1" applyProtection="1">
      <alignment horizontal="center" vertical="center"/>
    </xf>
    <xf numFmtId="0" fontId="46" fillId="0" borderId="0" xfId="1" applyFont="1" applyFill="1" applyAlignment="1" applyProtection="1">
      <alignment horizontal="center" vertical="center"/>
    </xf>
    <xf numFmtId="0" fontId="5" fillId="0" borderId="25" xfId="1" applyFont="1" applyBorder="1" applyAlignment="1" applyProtection="1">
      <alignment horizontal="right" vertical="center"/>
    </xf>
    <xf numFmtId="0" fontId="5" fillId="0" borderId="25" xfId="1" applyFont="1" applyBorder="1" applyAlignment="1" applyProtection="1">
      <alignment horizontal="left" vertical="center"/>
    </xf>
    <xf numFmtId="0" fontId="5" fillId="0" borderId="25" xfId="1" applyFont="1" applyBorder="1" applyAlignment="1" applyProtection="1">
      <alignment horizontal="center" textRotation="90"/>
    </xf>
    <xf numFmtId="0" fontId="5" fillId="0" borderId="22" xfId="1" applyFont="1" applyBorder="1" applyAlignment="1" applyProtection="1">
      <alignment horizontal="center" textRotation="90"/>
    </xf>
    <xf numFmtId="0" fontId="5" fillId="0" borderId="21" xfId="1" applyFont="1" applyBorder="1" applyAlignment="1" applyProtection="1">
      <alignment horizontal="center" textRotation="90"/>
    </xf>
    <xf numFmtId="0" fontId="5" fillId="0" borderId="0" xfId="1" applyFont="1" applyBorder="1" applyAlignment="1" applyProtection="1">
      <alignment horizontal="center" textRotation="90"/>
    </xf>
    <xf numFmtId="0" fontId="5" fillId="0" borderId="0" xfId="1" applyFont="1" applyFill="1" applyBorder="1" applyAlignment="1" applyProtection="1">
      <alignment horizontal="center" textRotation="90"/>
    </xf>
    <xf numFmtId="0" fontId="20" fillId="0" borderId="0" xfId="1" applyFont="1" applyProtection="1"/>
    <xf numFmtId="0" fontId="22" fillId="0" borderId="0" xfId="1" applyFont="1" applyBorder="1" applyAlignment="1" applyProtection="1"/>
    <xf numFmtId="0" fontId="22" fillId="0" borderId="0" xfId="1" applyFont="1" applyFill="1" applyBorder="1" applyAlignment="1" applyProtection="1"/>
    <xf numFmtId="0" fontId="22" fillId="0" borderId="0" xfId="1" applyFont="1" applyAlignment="1" applyProtection="1"/>
    <xf numFmtId="0" fontId="5" fillId="0" borderId="0" xfId="1" applyFont="1" applyAlignment="1" applyProtection="1"/>
    <xf numFmtId="0" fontId="5" fillId="0" borderId="25" xfId="1" applyFont="1" applyBorder="1" applyAlignment="1" applyProtection="1">
      <alignment horizontal="center"/>
    </xf>
    <xf numFmtId="0" fontId="20" fillId="0" borderId="0" xfId="1" applyFont="1" applyBorder="1" applyAlignment="1" applyProtection="1">
      <alignment horizontal="center" textRotation="90"/>
    </xf>
    <xf numFmtId="0" fontId="35" fillId="0" borderId="0" xfId="1" applyFont="1" applyFill="1" applyBorder="1" applyAlignment="1" applyProtection="1">
      <alignment horizontal="center" textRotation="90"/>
    </xf>
    <xf numFmtId="0" fontId="60" fillId="0" borderId="0" xfId="1" applyFont="1" applyFill="1" applyBorder="1" applyAlignment="1" applyProtection="1">
      <alignment horizontal="left" vertical="center" textRotation="90"/>
    </xf>
    <xf numFmtId="0" fontId="22" fillId="0" borderId="0" xfId="1" applyFont="1" applyBorder="1" applyAlignment="1" applyProtection="1">
      <alignment horizontal="center" textRotation="90"/>
    </xf>
    <xf numFmtId="0" fontId="52" fillId="0" borderId="0" xfId="1" applyFont="1" applyFill="1" applyBorder="1" applyAlignment="1" applyProtection="1">
      <alignment horizontal="center" textRotation="90"/>
    </xf>
    <xf numFmtId="0" fontId="46" fillId="0" borderId="0" xfId="1" applyFont="1" applyFill="1" applyBorder="1" applyAlignment="1" applyProtection="1">
      <alignment horizontal="left" vertical="center" textRotation="90"/>
    </xf>
    <xf numFmtId="164" fontId="102" fillId="0" borderId="25" xfId="0" applyNumberFormat="1" applyFont="1" applyFill="1" applyBorder="1" applyAlignment="1" applyProtection="1">
      <alignment horizontal="center" vertical="center" wrapText="1"/>
    </xf>
    <xf numFmtId="164" fontId="5" fillId="0" borderId="0" xfId="1" applyNumberFormat="1" applyFont="1" applyAlignment="1" applyProtection="1">
      <alignment horizontal="center"/>
    </xf>
    <xf numFmtId="164" fontId="5" fillId="0" borderId="0" xfId="1" applyNumberFormat="1" applyFont="1" applyFill="1" applyBorder="1" applyAlignment="1" applyProtection="1">
      <alignment horizontal="center" vertical="center" wrapText="1"/>
    </xf>
    <xf numFmtId="164" fontId="20" fillId="0" borderId="25" xfId="0" applyNumberFormat="1" applyFont="1" applyFill="1" applyBorder="1" applyAlignment="1" applyProtection="1">
      <alignment horizontal="center" vertical="center" wrapText="1"/>
    </xf>
    <xf numFmtId="164" fontId="20" fillId="0" borderId="0" xfId="1" applyNumberFormat="1" applyFont="1" applyAlignment="1" applyProtection="1">
      <alignment horizontal="center" vertical="center"/>
    </xf>
    <xf numFmtId="164" fontId="22" fillId="0" borderId="0" xfId="1" applyNumberFormat="1" applyFont="1" applyAlignment="1" applyProtection="1">
      <alignment horizontal="center" vertical="center"/>
    </xf>
    <xf numFmtId="164" fontId="5" fillId="0" borderId="0" xfId="1" applyNumberFormat="1" applyFont="1" applyAlignment="1" applyProtection="1">
      <alignment horizontal="center" vertical="center"/>
    </xf>
    <xf numFmtId="0" fontId="36" fillId="0" borderId="0" xfId="1" applyFont="1" applyFill="1" applyProtection="1"/>
    <xf numFmtId="0" fontId="36" fillId="0" borderId="0" xfId="1" applyFont="1" applyFill="1" applyBorder="1" applyAlignment="1" applyProtection="1">
      <alignment horizontal="right" vertical="center"/>
    </xf>
    <xf numFmtId="0" fontId="36" fillId="0" borderId="0" xfId="1" applyFont="1" applyFill="1" applyBorder="1" applyAlignment="1" applyProtection="1">
      <alignment vertical="center"/>
    </xf>
    <xf numFmtId="0" fontId="36" fillId="0" borderId="0" xfId="1" applyFont="1" applyFill="1" applyAlignment="1" applyProtection="1">
      <alignment horizontal="center"/>
    </xf>
    <xf numFmtId="164" fontId="36" fillId="0" borderId="0" xfId="1" applyNumberFormat="1" applyFont="1" applyAlignment="1" applyProtection="1">
      <alignment horizontal="center" vertical="center"/>
    </xf>
    <xf numFmtId="0" fontId="20" fillId="0" borderId="0" xfId="1" applyFont="1" applyFill="1" applyAlignment="1" applyProtection="1">
      <alignment horizontal="left" vertical="center"/>
    </xf>
    <xf numFmtId="0" fontId="20" fillId="0" borderId="0" xfId="1" applyFont="1" applyFill="1" applyProtection="1"/>
    <xf numFmtId="0" fontId="36" fillId="0" borderId="0" xfId="1" applyFont="1" applyProtection="1"/>
    <xf numFmtId="0" fontId="20" fillId="0" borderId="0" xfId="1" applyFont="1" applyAlignment="1" applyProtection="1">
      <alignment horizontal="left" vertical="center"/>
    </xf>
    <xf numFmtId="0" fontId="36" fillId="0" borderId="0" xfId="1" applyFont="1" applyFill="1" applyBorder="1" applyProtection="1"/>
    <xf numFmtId="0" fontId="36" fillId="0" borderId="0" xfId="1" applyFont="1" applyFill="1" applyBorder="1" applyAlignment="1" applyProtection="1">
      <alignment horizontal="center"/>
    </xf>
    <xf numFmtId="0" fontId="5" fillId="0" borderId="0" xfId="1" applyFont="1" applyFill="1" applyBorder="1" applyAlignment="1" applyProtection="1">
      <alignment horizontal="right" vertical="center"/>
    </xf>
    <xf numFmtId="0" fontId="5" fillId="0" borderId="0" xfId="1" applyFont="1" applyFill="1" applyBorder="1" applyAlignment="1" applyProtection="1">
      <alignment vertical="center"/>
    </xf>
    <xf numFmtId="0" fontId="5" fillId="0" borderId="0" xfId="1" applyFont="1" applyFill="1" applyBorder="1" applyAlignment="1" applyProtection="1">
      <alignment horizontal="center" vertical="center"/>
    </xf>
    <xf numFmtId="164" fontId="22" fillId="0" borderId="0" xfId="0" applyNumberFormat="1" applyFont="1" applyFill="1" applyBorder="1" applyAlignment="1" applyProtection="1">
      <alignment horizontal="center" vertical="center" wrapText="1"/>
    </xf>
    <xf numFmtId="164" fontId="0" fillId="0" borderId="0" xfId="0" applyNumberFormat="1" applyFill="1" applyBorder="1" applyAlignment="1" applyProtection="1">
      <alignment horizontal="center" vertical="center" wrapText="1"/>
    </xf>
    <xf numFmtId="164" fontId="5" fillId="0" borderId="0" xfId="1" applyNumberFormat="1" applyFont="1" applyFill="1" applyBorder="1" applyAlignment="1" applyProtection="1">
      <alignment horizontal="center"/>
    </xf>
    <xf numFmtId="9" fontId="5" fillId="0" borderId="0" xfId="1" applyNumberFormat="1" applyFont="1" applyFill="1" applyBorder="1" applyAlignment="1" applyProtection="1">
      <alignment horizontal="right" vertical="center"/>
    </xf>
    <xf numFmtId="1" fontId="5" fillId="0" borderId="0" xfId="1" applyNumberFormat="1" applyFont="1" applyFill="1" applyBorder="1" applyAlignment="1" applyProtection="1">
      <alignment horizontal="center" vertical="center"/>
    </xf>
    <xf numFmtId="1" fontId="36" fillId="0" borderId="0" xfId="1" applyNumberFormat="1" applyFont="1" applyFill="1" applyBorder="1" applyAlignment="1" applyProtection="1">
      <alignment horizontal="right" vertical="center"/>
    </xf>
    <xf numFmtId="0" fontId="36" fillId="0" borderId="0" xfId="1" applyFont="1" applyFill="1" applyBorder="1" applyAlignment="1" applyProtection="1">
      <alignment horizontal="left" vertical="center" wrapText="1"/>
    </xf>
    <xf numFmtId="164" fontId="78" fillId="0" borderId="0" xfId="0" applyNumberFormat="1" applyFont="1" applyFill="1" applyBorder="1" applyAlignment="1" applyProtection="1">
      <alignment horizontal="center" vertical="center" wrapText="1"/>
    </xf>
    <xf numFmtId="164" fontId="5" fillId="0" borderId="0" xfId="0" applyNumberFormat="1" applyFon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5" fillId="0" borderId="0" xfId="1" applyNumberFormat="1" applyFill="1" applyBorder="1" applyAlignment="1" applyProtection="1">
      <alignment horizontal="center" vertical="center"/>
    </xf>
    <xf numFmtId="164" fontId="5" fillId="0" borderId="0" xfId="1" applyNumberFormat="1" applyFont="1" applyFill="1" applyAlignment="1" applyProtection="1">
      <alignment horizontal="center" vertical="center"/>
    </xf>
    <xf numFmtId="0" fontId="20" fillId="0" borderId="0" xfId="1" applyFont="1" applyFill="1" applyBorder="1" applyAlignment="1" applyProtection="1">
      <alignment horizontal="right"/>
    </xf>
    <xf numFmtId="164" fontId="20" fillId="0" borderId="0" xfId="1" applyNumberFormat="1" applyFont="1" applyFill="1" applyBorder="1" applyAlignment="1" applyProtection="1">
      <alignment horizontal="center"/>
    </xf>
    <xf numFmtId="1" fontId="5" fillId="0" borderId="0" xfId="1" applyNumberFormat="1" applyFont="1" applyFill="1" applyBorder="1" applyAlignment="1" applyProtection="1">
      <alignment vertical="center"/>
    </xf>
    <xf numFmtId="0" fontId="21" fillId="0" borderId="0" xfId="1" applyFont="1" applyFill="1" applyBorder="1" applyAlignment="1" applyProtection="1">
      <alignment vertical="center"/>
    </xf>
    <xf numFmtId="164" fontId="22" fillId="0" borderId="25" xfId="0" applyNumberFormat="1" applyFont="1" applyFill="1" applyBorder="1" applyAlignment="1" applyProtection="1">
      <alignment horizontal="center" vertical="center" wrapText="1"/>
      <protection locked="0"/>
    </xf>
    <xf numFmtId="164" fontId="0" fillId="0" borderId="25" xfId="0" applyNumberFormat="1" applyFill="1" applyBorder="1" applyAlignment="1" applyProtection="1">
      <alignment horizontal="center" vertical="center" wrapText="1"/>
      <protection locked="0"/>
    </xf>
    <xf numFmtId="164" fontId="78" fillId="0" borderId="25" xfId="0" applyNumberFormat="1" applyFont="1" applyFill="1" applyBorder="1" applyAlignment="1" applyProtection="1">
      <alignment horizontal="center" vertical="center" wrapText="1"/>
      <protection locked="0"/>
    </xf>
    <xf numFmtId="164" fontId="5" fillId="0" borderId="25" xfId="0" applyNumberFormat="1" applyFont="1" applyFill="1" applyBorder="1" applyAlignment="1" applyProtection="1">
      <alignment horizontal="center" vertical="center"/>
      <protection locked="0"/>
    </xf>
    <xf numFmtId="164" fontId="0" fillId="0" borderId="25" xfId="0" applyNumberFormat="1" applyFill="1" applyBorder="1" applyAlignment="1" applyProtection="1">
      <alignment horizontal="center" vertical="center"/>
      <protection locked="0"/>
    </xf>
    <xf numFmtId="164" fontId="102" fillId="4" borderId="0" xfId="0" applyNumberFormat="1" applyFont="1" applyFill="1" applyAlignment="1">
      <alignment horizontal="center" vertical="center"/>
    </xf>
    <xf numFmtId="164" fontId="102" fillId="0" borderId="0" xfId="0" applyNumberFormat="1" applyFont="1" applyFill="1" applyAlignment="1">
      <alignment horizontal="center" vertical="center"/>
    </xf>
    <xf numFmtId="164" fontId="102" fillId="4" borderId="0" xfId="0" applyNumberFormat="1" applyFont="1" applyFill="1" applyBorder="1" applyAlignment="1">
      <alignment horizontal="center" vertical="center"/>
    </xf>
    <xf numFmtId="164" fontId="102" fillId="0" borderId="0" xfId="0" applyNumberFormat="1" applyFont="1" applyFill="1" applyBorder="1" applyAlignment="1">
      <alignment horizontal="center" vertical="center"/>
    </xf>
    <xf numFmtId="164" fontId="102" fillId="5" borderId="75" xfId="0" applyNumberFormat="1" applyFont="1" applyFill="1" applyBorder="1" applyAlignment="1" applyProtection="1">
      <alignment horizontal="center" vertical="center"/>
      <protection locked="0"/>
    </xf>
    <xf numFmtId="164" fontId="102" fillId="0" borderId="0" xfId="0" applyNumberFormat="1" applyFont="1" applyFill="1" applyBorder="1" applyAlignment="1" applyProtection="1">
      <alignment horizontal="center" vertical="center"/>
      <protection locked="0"/>
    </xf>
    <xf numFmtId="0" fontId="102" fillId="0" borderId="0" xfId="0" applyFont="1" applyAlignment="1">
      <alignment horizontal="center"/>
    </xf>
    <xf numFmtId="164" fontId="20" fillId="0" borderId="0" xfId="0" applyNumberFormat="1" applyFont="1" applyAlignment="1">
      <alignment vertical="center"/>
    </xf>
    <xf numFmtId="164" fontId="20" fillId="0" borderId="0" xfId="0" applyNumberFormat="1" applyFont="1" applyAlignment="1">
      <alignment horizontal="center"/>
    </xf>
    <xf numFmtId="9" fontId="20" fillId="0" borderId="0" xfId="0" applyNumberFormat="1" applyFont="1" applyAlignment="1">
      <alignment horizontal="left" vertical="center"/>
    </xf>
    <xf numFmtId="164" fontId="22" fillId="0" borderId="0" xfId="0" applyNumberFormat="1" applyFont="1" applyAlignment="1">
      <alignment vertical="center"/>
    </xf>
    <xf numFmtId="164" fontId="22" fillId="0" borderId="0" xfId="0" applyNumberFormat="1" applyFont="1" applyAlignment="1">
      <alignment horizontal="center"/>
    </xf>
    <xf numFmtId="0" fontId="22" fillId="0" borderId="0" xfId="0" applyFont="1"/>
    <xf numFmtId="164" fontId="5" fillId="4" borderId="20" xfId="1" applyNumberFormat="1" applyFont="1" applyFill="1" applyBorder="1" applyAlignment="1" applyProtection="1">
      <alignment horizontal="center" vertical="center"/>
      <protection locked="0"/>
    </xf>
    <xf numFmtId="164" fontId="0" fillId="10" borderId="25" xfId="0" applyNumberFormat="1" applyFill="1" applyBorder="1" applyAlignment="1" applyProtection="1">
      <alignment horizontal="center" vertical="center" wrapText="1"/>
      <protection locked="0"/>
    </xf>
    <xf numFmtId="164" fontId="0" fillId="7" borderId="25" xfId="0" applyNumberFormat="1" applyFill="1" applyBorder="1" applyAlignment="1" applyProtection="1">
      <alignment horizontal="center" vertical="center" wrapText="1"/>
      <protection locked="0"/>
    </xf>
    <xf numFmtId="0" fontId="79" fillId="3" borderId="17" xfId="0" applyFont="1" applyFill="1" applyBorder="1" applyAlignment="1" applyProtection="1">
      <alignment horizontal="center" vertical="center"/>
    </xf>
    <xf numFmtId="0" fontId="79" fillId="3" borderId="18"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8" fillId="22" borderId="45" xfId="0" applyFont="1" applyFill="1" applyBorder="1" applyAlignment="1">
      <alignment horizontal="center" vertical="center" wrapText="1"/>
    </xf>
    <xf numFmtId="0" fontId="8" fillId="22" borderId="15" xfId="0" applyFont="1" applyFill="1" applyBorder="1" applyAlignment="1">
      <alignment horizontal="center" vertical="center" wrapText="1"/>
    </xf>
    <xf numFmtId="0" fontId="8" fillId="22" borderId="6" xfId="0" applyFont="1" applyFill="1" applyBorder="1" applyAlignment="1">
      <alignment horizontal="center" vertical="center" wrapText="1"/>
    </xf>
    <xf numFmtId="0" fontId="8" fillId="22" borderId="46" xfId="0" applyFont="1" applyFill="1" applyBorder="1" applyAlignment="1">
      <alignment horizontal="center" vertical="center" wrapText="1"/>
    </xf>
    <xf numFmtId="0" fontId="8" fillId="22" borderId="0" xfId="0" applyFont="1" applyFill="1" applyAlignment="1">
      <alignment horizontal="center" vertical="center" wrapText="1"/>
    </xf>
    <xf numFmtId="0" fontId="8" fillId="22" borderId="13" xfId="0" applyFont="1" applyFill="1" applyBorder="1" applyAlignment="1">
      <alignment horizontal="center" vertical="center" wrapText="1"/>
    </xf>
    <xf numFmtId="0" fontId="8" fillId="22" borderId="47" xfId="0" applyFont="1" applyFill="1" applyBorder="1" applyAlignment="1">
      <alignment horizontal="center" vertical="center" wrapText="1"/>
    </xf>
    <xf numFmtId="0" fontId="8" fillId="22" borderId="16"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86" fillId="0" borderId="45" xfId="7" applyFont="1" applyBorder="1" applyAlignment="1">
      <alignment horizontal="center"/>
    </xf>
    <xf numFmtId="0" fontId="86" fillId="0" borderId="6" xfId="7" applyFont="1" applyBorder="1" applyAlignment="1">
      <alignment horizontal="center"/>
    </xf>
    <xf numFmtId="0" fontId="101" fillId="0" borderId="0" xfId="7" applyFont="1" applyAlignment="1">
      <alignment horizontal="center"/>
    </xf>
    <xf numFmtId="0" fontId="86" fillId="6" borderId="105" xfId="7" applyFont="1" applyFill="1" applyBorder="1" applyAlignment="1" applyProtection="1">
      <alignment horizontal="center" vertical="center"/>
      <protection locked="0"/>
    </xf>
    <xf numFmtId="0" fontId="86" fillId="6" borderId="106" xfId="7" applyFont="1" applyFill="1" applyBorder="1" applyAlignment="1" applyProtection="1">
      <alignment horizontal="center" vertical="center"/>
      <protection locked="0"/>
    </xf>
    <xf numFmtId="0" fontId="86" fillId="6" borderId="107" xfId="7" applyFont="1" applyFill="1" applyBorder="1" applyAlignment="1" applyProtection="1">
      <alignment horizontal="center" vertical="center"/>
      <protection locked="0"/>
    </xf>
    <xf numFmtId="0" fontId="86" fillId="6" borderId="108" xfId="7" applyFont="1" applyFill="1" applyBorder="1" applyAlignment="1" applyProtection="1">
      <alignment horizontal="center" vertical="center"/>
      <protection locked="0"/>
    </xf>
    <xf numFmtId="0" fontId="86" fillId="0" borderId="109" xfId="7" applyFont="1" applyBorder="1" applyAlignment="1">
      <alignment horizontal="center"/>
    </xf>
    <xf numFmtId="0" fontId="33" fillId="4" borderId="11" xfId="1" applyFont="1" applyFill="1" applyBorder="1" applyAlignment="1">
      <alignment horizontal="center"/>
    </xf>
    <xf numFmtId="0" fontId="33" fillId="4" borderId="26" xfId="1" applyFont="1" applyFill="1" applyBorder="1" applyAlignment="1">
      <alignment horizontal="center"/>
    </xf>
    <xf numFmtId="0" fontId="50" fillId="0" borderId="45" xfId="1" applyFont="1" applyBorder="1" applyAlignment="1">
      <alignment horizontal="center" vertical="center" textRotation="90"/>
    </xf>
    <xf numFmtId="0" fontId="50" fillId="0" borderId="6" xfId="1" applyFont="1" applyBorder="1" applyAlignment="1">
      <alignment horizontal="center" vertical="center" textRotation="90"/>
    </xf>
    <xf numFmtId="0" fontId="50" fillId="0" borderId="46" xfId="1" applyFont="1" applyBorder="1" applyAlignment="1">
      <alignment horizontal="center" vertical="center" textRotation="90"/>
    </xf>
    <xf numFmtId="0" fontId="50" fillId="0" borderId="13" xfId="1" applyFont="1" applyBorder="1" applyAlignment="1">
      <alignment horizontal="center" vertical="center" textRotation="90"/>
    </xf>
    <xf numFmtId="0" fontId="50" fillId="0" borderId="47" xfId="1" applyFont="1" applyBorder="1" applyAlignment="1">
      <alignment horizontal="center" vertical="center" textRotation="90"/>
    </xf>
    <xf numFmtId="0" fontId="50" fillId="0" borderId="14" xfId="1" applyFont="1" applyBorder="1" applyAlignment="1">
      <alignment horizontal="center" vertical="center" textRotation="90"/>
    </xf>
    <xf numFmtId="0" fontId="50" fillId="0" borderId="49" xfId="1" applyFont="1" applyBorder="1" applyAlignment="1">
      <alignment horizontal="center"/>
    </xf>
    <xf numFmtId="0" fontId="50" fillId="0" borderId="18" xfId="1" applyFont="1" applyBorder="1" applyAlignment="1">
      <alignment horizontal="center"/>
    </xf>
    <xf numFmtId="0" fontId="50" fillId="0" borderId="50" xfId="1" applyFont="1" applyBorder="1" applyAlignment="1">
      <alignment horizontal="center"/>
    </xf>
    <xf numFmtId="0" fontId="54" fillId="0" borderId="45" xfId="1" applyFont="1" applyBorder="1" applyAlignment="1">
      <alignment horizontal="left" vertical="top"/>
    </xf>
    <xf numFmtId="0" fontId="54" fillId="0" borderId="15" xfId="1" applyFont="1" applyBorder="1" applyAlignment="1">
      <alignment horizontal="left" vertical="top"/>
    </xf>
    <xf numFmtId="0" fontId="54" fillId="0" borderId="6" xfId="1" applyFont="1" applyBorder="1" applyAlignment="1">
      <alignment horizontal="left" vertical="top"/>
    </xf>
    <xf numFmtId="0" fontId="54" fillId="0" borderId="46" xfId="1" applyFont="1" applyBorder="1" applyAlignment="1">
      <alignment horizontal="left" vertical="top"/>
    </xf>
    <xf numFmtId="0" fontId="54" fillId="0" borderId="0" xfId="1" applyFont="1" applyBorder="1" applyAlignment="1">
      <alignment horizontal="left" vertical="top"/>
    </xf>
    <xf numFmtId="0" fontId="54" fillId="0" borderId="13" xfId="1" applyFont="1" applyBorder="1" applyAlignment="1">
      <alignment horizontal="left" vertical="top"/>
    </xf>
    <xf numFmtId="0" fontId="54" fillId="0" borderId="47" xfId="1" applyFont="1" applyBorder="1" applyAlignment="1">
      <alignment horizontal="left" vertical="top"/>
    </xf>
    <xf numFmtId="0" fontId="54" fillId="0" borderId="16" xfId="1" applyFont="1" applyBorder="1" applyAlignment="1">
      <alignment horizontal="left" vertical="top"/>
    </xf>
    <xf numFmtId="0" fontId="54" fillId="0" borderId="14" xfId="1" applyFont="1" applyBorder="1" applyAlignment="1">
      <alignment horizontal="left" vertical="top"/>
    </xf>
    <xf numFmtId="0" fontId="84" fillId="22" borderId="49" xfId="1" applyFont="1" applyFill="1" applyBorder="1" applyAlignment="1">
      <alignment horizontal="center"/>
    </xf>
    <xf numFmtId="0" fontId="84" fillId="22" borderId="18" xfId="1" applyFont="1" applyFill="1" applyBorder="1" applyAlignment="1">
      <alignment horizontal="center"/>
    </xf>
    <xf numFmtId="0" fontId="54" fillId="0" borderId="45" xfId="1" applyFont="1" applyBorder="1" applyAlignment="1">
      <alignment horizontal="left" vertical="top" wrapText="1"/>
    </xf>
    <xf numFmtId="0" fontId="53" fillId="0" borderId="45" xfId="1" applyFont="1" applyBorder="1" applyAlignment="1">
      <alignment horizontal="left" vertical="top"/>
    </xf>
    <xf numFmtId="0" fontId="53" fillId="0" borderId="15" xfId="1" applyFont="1" applyBorder="1" applyAlignment="1">
      <alignment horizontal="left" vertical="top"/>
    </xf>
    <xf numFmtId="0" fontId="53" fillId="0" borderId="6" xfId="1" applyFont="1" applyBorder="1" applyAlignment="1">
      <alignment horizontal="left" vertical="top"/>
    </xf>
    <xf numFmtId="0" fontId="53" fillId="0" borderId="46" xfId="1" applyFont="1" applyBorder="1" applyAlignment="1">
      <alignment horizontal="left" vertical="top"/>
    </xf>
    <xf numFmtId="0" fontId="53" fillId="0" borderId="0" xfId="1" applyFont="1" applyBorder="1" applyAlignment="1">
      <alignment horizontal="left" vertical="top"/>
    </xf>
    <xf numFmtId="0" fontId="53" fillId="0" borderId="13" xfId="1" applyFont="1" applyBorder="1" applyAlignment="1">
      <alignment horizontal="left" vertical="top"/>
    </xf>
    <xf numFmtId="0" fontId="53" fillId="0" borderId="47" xfId="1" applyFont="1" applyBorder="1" applyAlignment="1">
      <alignment horizontal="left" vertical="top"/>
    </xf>
    <xf numFmtId="0" fontId="53" fillId="0" borderId="16" xfId="1" applyFont="1" applyBorder="1" applyAlignment="1">
      <alignment horizontal="left" vertical="top"/>
    </xf>
    <xf numFmtId="0" fontId="53" fillId="0" borderId="14" xfId="1" applyFont="1" applyBorder="1" applyAlignment="1">
      <alignment horizontal="left" vertical="top"/>
    </xf>
    <xf numFmtId="0" fontId="54" fillId="0" borderId="15" xfId="1" applyFont="1" applyBorder="1" applyAlignment="1">
      <alignment horizontal="left" vertical="top" wrapText="1"/>
    </xf>
    <xf numFmtId="0" fontId="11" fillId="0" borderId="0" xfId="1" applyFont="1" applyAlignment="1">
      <alignment horizontal="center"/>
    </xf>
    <xf numFmtId="0" fontId="11" fillId="0" borderId="0" xfId="1" applyFont="1" applyBorder="1" applyAlignment="1">
      <alignment horizontal="center"/>
    </xf>
    <xf numFmtId="0" fontId="55" fillId="4" borderId="11" xfId="1" applyFont="1" applyFill="1" applyBorder="1" applyAlignment="1">
      <alignment horizontal="center"/>
    </xf>
    <xf numFmtId="0" fontId="55" fillId="4" borderId="26" xfId="1" applyFont="1" applyFill="1" applyBorder="1" applyAlignment="1">
      <alignment horizontal="center"/>
    </xf>
    <xf numFmtId="0" fontId="16" fillId="0" borderId="75" xfId="1" applyFont="1" applyBorder="1" applyAlignment="1">
      <alignment horizontal="center" vertical="center"/>
    </xf>
    <xf numFmtId="0" fontId="55" fillId="3" borderId="11" xfId="1" applyFont="1" applyFill="1" applyBorder="1" applyAlignment="1" applyProtection="1">
      <alignment horizontal="center"/>
      <protection locked="0"/>
    </xf>
    <xf numFmtId="0" fontId="55" fillId="3" borderId="27" xfId="1" applyFont="1" applyFill="1" applyBorder="1" applyAlignment="1" applyProtection="1">
      <alignment horizontal="center"/>
      <protection locked="0"/>
    </xf>
    <xf numFmtId="0" fontId="11" fillId="0" borderId="11" xfId="1" applyFont="1" applyBorder="1" applyAlignment="1">
      <alignment horizontal="center"/>
    </xf>
    <xf numFmtId="0" fontId="11" fillId="0" borderId="27" xfId="1" applyFont="1" applyBorder="1" applyAlignment="1">
      <alignment horizontal="center"/>
    </xf>
    <xf numFmtId="0" fontId="11" fillId="0" borderId="26" xfId="1" applyFont="1" applyBorder="1" applyAlignment="1">
      <alignment horizontal="center"/>
    </xf>
    <xf numFmtId="0" fontId="11" fillId="0" borderId="25" xfId="1" applyFont="1" applyBorder="1" applyAlignment="1">
      <alignment horizontal="center"/>
    </xf>
    <xf numFmtId="0" fontId="11" fillId="3" borderId="11" xfId="1" applyFont="1" applyFill="1" applyBorder="1" applyAlignment="1" applyProtection="1">
      <alignment horizontal="center"/>
      <protection locked="0"/>
    </xf>
    <xf numFmtId="0" fontId="11" fillId="3" borderId="27" xfId="1" applyFont="1" applyFill="1" applyBorder="1" applyAlignment="1" applyProtection="1">
      <alignment horizontal="center"/>
      <protection locked="0"/>
    </xf>
    <xf numFmtId="0" fontId="11" fillId="3" borderId="26" xfId="1" applyFont="1" applyFill="1" applyBorder="1" applyAlignment="1" applyProtection="1">
      <alignment horizontal="center"/>
      <protection locked="0"/>
    </xf>
    <xf numFmtId="0" fontId="20" fillId="0" borderId="0" xfId="1" applyFont="1" applyAlignment="1" applyProtection="1">
      <alignment horizontal="center"/>
    </xf>
    <xf numFmtId="0" fontId="21" fillId="3" borderId="0" xfId="1" applyFont="1" applyFill="1" applyBorder="1" applyAlignment="1" applyProtection="1">
      <alignment horizontal="center" vertical="center"/>
    </xf>
    <xf numFmtId="0" fontId="17" fillId="0" borderId="11" xfId="1" applyFont="1" applyBorder="1" applyAlignment="1" applyProtection="1">
      <alignment horizontal="center" vertical="center"/>
    </xf>
    <xf numFmtId="0" fontId="17" fillId="0" borderId="26" xfId="1" applyFont="1" applyBorder="1" applyAlignment="1" applyProtection="1">
      <alignment horizontal="center" vertical="center"/>
    </xf>
    <xf numFmtId="0" fontId="5" fillId="0" borderId="0" xfId="1" applyFont="1" applyAlignment="1" applyProtection="1">
      <alignment horizontal="center" vertical="center"/>
    </xf>
    <xf numFmtId="0" fontId="5" fillId="3" borderId="11" xfId="1" applyFont="1" applyFill="1" applyBorder="1" applyAlignment="1" applyProtection="1">
      <alignment horizontal="center" vertical="center"/>
    </xf>
    <xf numFmtId="0" fontId="5" fillId="3" borderId="26" xfId="1" applyFont="1" applyFill="1" applyBorder="1" applyAlignment="1" applyProtection="1">
      <alignment horizontal="center" vertical="center"/>
    </xf>
    <xf numFmtId="0" fontId="20" fillId="0" borderId="0" xfId="1" applyFont="1" applyBorder="1" applyAlignment="1" applyProtection="1">
      <alignment horizontal="center"/>
    </xf>
    <xf numFmtId="0" fontId="15" fillId="20" borderId="0" xfId="1" applyFont="1" applyFill="1" applyBorder="1" applyAlignment="1" applyProtection="1">
      <alignment horizontal="center" vertical="center"/>
    </xf>
    <xf numFmtId="0" fontId="15" fillId="21" borderId="0" xfId="1" applyFont="1" applyFill="1" applyBorder="1" applyAlignment="1" applyProtection="1">
      <alignment horizontal="center" vertical="center"/>
    </xf>
    <xf numFmtId="0" fontId="46" fillId="12" borderId="0" xfId="1" applyFont="1" applyFill="1" applyBorder="1" applyAlignment="1" applyProtection="1">
      <alignment horizontal="center" vertical="center"/>
    </xf>
    <xf numFmtId="0" fontId="20" fillId="0" borderId="0" xfId="1" applyFont="1" applyFill="1" applyBorder="1" applyAlignment="1" applyProtection="1">
      <alignment horizontal="center"/>
    </xf>
    <xf numFmtId="0" fontId="5" fillId="0" borderId="88" xfId="1" applyBorder="1" applyAlignment="1">
      <alignment horizontal="left" vertical="center"/>
    </xf>
    <xf numFmtId="0" fontId="5" fillId="0" borderId="87" xfId="1" applyBorder="1" applyAlignment="1">
      <alignment horizontal="left" vertical="center"/>
    </xf>
    <xf numFmtId="0" fontId="5" fillId="0" borderId="86" xfId="1" applyBorder="1" applyAlignment="1">
      <alignment horizontal="center" vertical="center" textRotation="90" wrapText="1"/>
    </xf>
    <xf numFmtId="0" fontId="5" fillId="0" borderId="82" xfId="1" applyBorder="1" applyAlignment="1">
      <alignment horizontal="center" vertical="center" textRotation="90"/>
    </xf>
    <xf numFmtId="0" fontId="5" fillId="0" borderId="76" xfId="1" applyBorder="1" applyAlignment="1">
      <alignment horizontal="center" vertical="center" textRotation="90"/>
    </xf>
    <xf numFmtId="0" fontId="5" fillId="0" borderId="84" xfId="1" applyBorder="1" applyAlignment="1">
      <alignment horizontal="left" vertical="center"/>
    </xf>
    <xf numFmtId="0" fontId="5" fillId="0" borderId="83" xfId="1" applyBorder="1" applyAlignment="1">
      <alignment horizontal="left" vertical="center"/>
    </xf>
    <xf numFmtId="0" fontId="5" fillId="0" borderId="78" xfId="1" applyBorder="1" applyAlignment="1">
      <alignment horizontal="left" vertical="center"/>
    </xf>
    <xf numFmtId="0" fontId="5" fillId="0" borderId="77" xfId="1" applyBorder="1" applyAlignment="1">
      <alignment horizontal="left" vertical="center"/>
    </xf>
    <xf numFmtId="0" fontId="5" fillId="0" borderId="0" xfId="1" applyAlignment="1">
      <alignment horizontal="center"/>
    </xf>
    <xf numFmtId="0" fontId="5" fillId="22" borderId="103" xfId="1" applyFill="1" applyBorder="1" applyAlignment="1">
      <alignment horizontal="center" vertical="center"/>
    </xf>
    <xf numFmtId="0" fontId="5" fillId="22" borderId="102" xfId="1" applyFill="1" applyBorder="1" applyAlignment="1">
      <alignment horizontal="center" vertical="center"/>
    </xf>
    <xf numFmtId="0" fontId="5" fillId="22" borderId="102" xfId="1" applyFill="1" applyBorder="1" applyAlignment="1">
      <alignment horizontal="center"/>
    </xf>
    <xf numFmtId="0" fontId="5" fillId="22" borderId="101" xfId="1" applyFill="1" applyBorder="1" applyAlignment="1">
      <alignment horizontal="center"/>
    </xf>
    <xf numFmtId="0" fontId="5" fillId="6" borderId="34" xfId="1" applyFill="1" applyBorder="1" applyAlignment="1" applyProtection="1">
      <alignment horizontal="center" textRotation="90"/>
      <protection locked="0"/>
    </xf>
    <xf numFmtId="0" fontId="5" fillId="6" borderId="25" xfId="1" applyFill="1" applyBorder="1" applyAlignment="1" applyProtection="1">
      <alignment horizontal="center" textRotation="90"/>
      <protection locked="0"/>
    </xf>
    <xf numFmtId="0" fontId="5" fillId="6" borderId="31" xfId="1" applyFill="1" applyBorder="1" applyAlignment="1" applyProtection="1">
      <alignment horizontal="center" textRotation="90"/>
      <protection locked="0"/>
    </xf>
    <xf numFmtId="0" fontId="5" fillId="6" borderId="100" xfId="1" applyFill="1" applyBorder="1" applyAlignment="1" applyProtection="1">
      <alignment horizontal="center" textRotation="90"/>
      <protection locked="0"/>
    </xf>
    <xf numFmtId="0" fontId="5" fillId="6" borderId="95" xfId="1" applyFill="1" applyBorder="1" applyAlignment="1" applyProtection="1">
      <alignment horizontal="center" textRotation="90"/>
      <protection locked="0"/>
    </xf>
    <xf numFmtId="0" fontId="5" fillId="6" borderId="99" xfId="1" applyFill="1" applyBorder="1" applyAlignment="1" applyProtection="1">
      <alignment horizontal="center" textRotation="90"/>
      <protection locked="0"/>
    </xf>
    <xf numFmtId="0" fontId="5" fillId="22" borderId="98" xfId="1" applyFill="1" applyBorder="1" applyAlignment="1">
      <alignment horizontal="center" vertical="center"/>
    </xf>
    <xf numFmtId="0" fontId="5" fillId="22" borderId="27" xfId="1" applyFill="1" applyBorder="1" applyAlignment="1">
      <alignment horizontal="center" vertical="center"/>
    </xf>
    <xf numFmtId="0" fontId="5" fillId="22" borderId="27" xfId="1" applyFill="1" applyBorder="1" applyAlignment="1">
      <alignment horizontal="center"/>
    </xf>
    <xf numFmtId="0" fontId="5" fillId="22" borderId="97" xfId="1" applyFill="1" applyBorder="1" applyAlignment="1">
      <alignment horizontal="center"/>
    </xf>
    <xf numFmtId="9" fontId="32" fillId="3" borderId="10" xfId="0" applyNumberFormat="1" applyFont="1" applyFill="1" applyBorder="1" applyAlignment="1">
      <alignment horizontal="center" vertical="center" textRotation="90"/>
    </xf>
    <xf numFmtId="9" fontId="32" fillId="3" borderId="23" xfId="0" applyNumberFormat="1" applyFont="1" applyFill="1" applyBorder="1" applyAlignment="1">
      <alignment horizontal="center" vertical="center" textRotation="90"/>
    </xf>
    <xf numFmtId="9" fontId="32" fillId="3" borderId="24" xfId="0" applyNumberFormat="1" applyFont="1" applyFill="1" applyBorder="1" applyAlignment="1">
      <alignment horizontal="center" vertical="center" textRotation="90"/>
    </xf>
    <xf numFmtId="0" fontId="32" fillId="3" borderId="17" xfId="0" applyFont="1" applyFill="1" applyBorder="1" applyAlignment="1">
      <alignment horizontal="center" vertical="center"/>
    </xf>
    <xf numFmtId="0" fontId="32" fillId="3" borderId="19" xfId="0" applyFont="1" applyFill="1" applyBorder="1" applyAlignment="1">
      <alignment horizontal="center" vertical="center"/>
    </xf>
    <xf numFmtId="9" fontId="5" fillId="3" borderId="32" xfId="4" applyFont="1" applyFill="1" applyBorder="1" applyAlignment="1" applyProtection="1">
      <alignment horizontal="center" vertical="center" textRotation="90"/>
    </xf>
    <xf numFmtId="9" fontId="5" fillId="3" borderId="35" xfId="4" applyFont="1" applyFill="1" applyBorder="1" applyAlignment="1" applyProtection="1">
      <alignment horizontal="center" vertical="center" textRotation="90"/>
    </xf>
    <xf numFmtId="0" fontId="5" fillId="2" borderId="44" xfId="0" applyFont="1" applyFill="1" applyBorder="1" applyAlignment="1" applyProtection="1">
      <alignment vertical="top" wrapText="1"/>
      <protection locked="0"/>
    </xf>
    <xf numFmtId="0" fontId="5" fillId="2" borderId="23" xfId="0" applyFont="1" applyFill="1" applyBorder="1" applyAlignment="1" applyProtection="1">
      <alignment vertical="top" wrapText="1"/>
      <protection locked="0"/>
    </xf>
    <xf numFmtId="0" fontId="5" fillId="2" borderId="24" xfId="0" applyFont="1" applyFill="1" applyBorder="1" applyAlignment="1" applyProtection="1">
      <alignment vertical="top" wrapText="1"/>
      <protection locked="0"/>
    </xf>
    <xf numFmtId="0" fontId="57" fillId="22" borderId="17" xfId="5" applyFont="1" applyFill="1" applyBorder="1" applyAlignment="1">
      <alignment horizontal="center" vertical="center"/>
    </xf>
    <xf numFmtId="0" fontId="57" fillId="22" borderId="19" xfId="5" applyFont="1" applyFill="1" applyBorder="1" applyAlignment="1">
      <alignment horizontal="center" vertical="center"/>
    </xf>
    <xf numFmtId="9" fontId="5" fillId="3" borderId="29" xfId="4" applyFont="1" applyFill="1" applyBorder="1" applyAlignment="1" applyProtection="1">
      <alignment horizontal="center" vertical="center" textRotation="90"/>
    </xf>
    <xf numFmtId="0" fontId="5" fillId="2" borderId="10" xfId="0" applyFont="1" applyFill="1" applyBorder="1" applyAlignment="1" applyProtection="1">
      <alignment vertical="top" wrapText="1"/>
      <protection locked="0"/>
    </xf>
    <xf numFmtId="0" fontId="5" fillId="2" borderId="43" xfId="0" applyFont="1" applyFill="1" applyBorder="1" applyAlignment="1" applyProtection="1">
      <alignment vertical="top" wrapText="1"/>
      <protection locked="0"/>
    </xf>
    <xf numFmtId="0" fontId="16" fillId="0" borderId="0" xfId="1" applyFont="1" applyAlignment="1">
      <alignment horizontal="center"/>
    </xf>
    <xf numFmtId="0" fontId="0" fillId="0" borderId="43" xfId="0" applyBorder="1" applyProtection="1">
      <protection locked="0"/>
    </xf>
    <xf numFmtId="0" fontId="0" fillId="0" borderId="23" xfId="0" applyBorder="1" applyAlignment="1" applyProtection="1">
      <alignment vertical="top" wrapText="1"/>
      <protection locked="0"/>
    </xf>
    <xf numFmtId="0" fontId="0" fillId="0" borderId="24" xfId="0" applyBorder="1" applyAlignment="1" applyProtection="1">
      <alignment vertical="top" wrapText="1"/>
      <protection locked="0"/>
    </xf>
    <xf numFmtId="0" fontId="5" fillId="2" borderId="44" xfId="1" applyNumberFormat="1" applyFont="1" applyFill="1" applyBorder="1" applyAlignment="1" applyProtection="1">
      <alignment vertical="top" wrapText="1"/>
      <protection locked="0"/>
    </xf>
    <xf numFmtId="0" fontId="5" fillId="2" borderId="23" xfId="1" applyNumberFormat="1" applyFont="1" applyFill="1" applyBorder="1" applyAlignment="1" applyProtection="1">
      <alignment vertical="top" wrapText="1"/>
      <protection locked="0"/>
    </xf>
    <xf numFmtId="0" fontId="5" fillId="2" borderId="24" xfId="1" applyNumberFormat="1" applyFont="1" applyFill="1" applyBorder="1" applyAlignment="1" applyProtection="1">
      <alignment vertical="top" wrapText="1"/>
      <protection locked="0"/>
    </xf>
    <xf numFmtId="0" fontId="5" fillId="2" borderId="10" xfId="1" applyFont="1" applyFill="1" applyBorder="1" applyAlignment="1" applyProtection="1">
      <alignment vertical="top" wrapText="1"/>
      <protection locked="0"/>
    </xf>
    <xf numFmtId="0" fontId="5" fillId="0" borderId="43" xfId="1" applyBorder="1" applyProtection="1">
      <protection locked="0"/>
    </xf>
    <xf numFmtId="0" fontId="5" fillId="2" borderId="10" xfId="1" applyNumberFormat="1" applyFont="1" applyFill="1" applyBorder="1" applyAlignment="1" applyProtection="1">
      <alignment vertical="top" wrapText="1"/>
      <protection locked="0"/>
    </xf>
    <xf numFmtId="0" fontId="5" fillId="2" borderId="43" xfId="1" applyNumberFormat="1" applyFont="1" applyFill="1" applyBorder="1" applyAlignment="1" applyProtection="1">
      <alignment vertical="top" wrapText="1"/>
      <protection locked="0"/>
    </xf>
    <xf numFmtId="0" fontId="5" fillId="0" borderId="23" xfId="1" applyNumberFormat="1" applyBorder="1" applyAlignment="1" applyProtection="1">
      <alignment vertical="top" wrapText="1"/>
      <protection locked="0"/>
    </xf>
    <xf numFmtId="0" fontId="5" fillId="0" borderId="24" xfId="1" applyNumberFormat="1" applyBorder="1" applyAlignment="1" applyProtection="1">
      <alignment vertical="top" wrapText="1"/>
      <protection locked="0"/>
    </xf>
    <xf numFmtId="0" fontId="5" fillId="2" borderId="44" xfId="0" applyNumberFormat="1" applyFont="1" applyFill="1" applyBorder="1" applyAlignment="1" applyProtection="1">
      <alignment vertical="top" wrapText="1"/>
      <protection locked="0"/>
    </xf>
    <xf numFmtId="0" fontId="5" fillId="2" borderId="23" xfId="0" applyNumberFormat="1" applyFont="1" applyFill="1" applyBorder="1" applyAlignment="1" applyProtection="1">
      <alignment vertical="top" wrapText="1"/>
      <protection locked="0"/>
    </xf>
    <xf numFmtId="0" fontId="5" fillId="2" borderId="24" xfId="0" applyNumberFormat="1" applyFont="1" applyFill="1" applyBorder="1" applyAlignment="1" applyProtection="1">
      <alignment vertical="top" wrapText="1"/>
      <protection locked="0"/>
    </xf>
    <xf numFmtId="0" fontId="5" fillId="2" borderId="10" xfId="0" applyNumberFormat="1" applyFont="1" applyFill="1" applyBorder="1" applyAlignment="1" applyProtection="1">
      <alignment vertical="top" wrapText="1"/>
      <protection locked="0"/>
    </xf>
    <xf numFmtId="0" fontId="5" fillId="2" borderId="43" xfId="0" applyNumberFormat="1" applyFont="1" applyFill="1" applyBorder="1" applyAlignment="1" applyProtection="1">
      <alignment vertical="top" wrapText="1"/>
      <protection locked="0"/>
    </xf>
    <xf numFmtId="0" fontId="5" fillId="2" borderId="10" xfId="1" applyNumberFormat="1" applyFill="1" applyBorder="1" applyAlignment="1" applyProtection="1">
      <alignment vertical="top" wrapText="1"/>
      <protection locked="0"/>
    </xf>
    <xf numFmtId="49" fontId="5" fillId="2" borderId="44" xfId="1" applyNumberFormat="1" applyFont="1" applyFill="1" applyBorder="1" applyAlignment="1" applyProtection="1">
      <alignment vertical="top" wrapText="1"/>
      <protection locked="0"/>
    </xf>
    <xf numFmtId="0" fontId="16" fillId="21" borderId="27" xfId="0" applyFont="1" applyFill="1" applyBorder="1" applyAlignment="1" applyProtection="1">
      <alignment horizontal="center" vertical="center"/>
      <protection locked="0"/>
    </xf>
    <xf numFmtId="0" fontId="16" fillId="21" borderId="26" xfId="0" applyFont="1" applyFill="1" applyBorder="1" applyAlignment="1" applyProtection="1">
      <alignment horizontal="center" vertical="center"/>
      <protection locked="0"/>
    </xf>
    <xf numFmtId="0" fontId="16" fillId="0" borderId="54" xfId="0" applyFont="1" applyBorder="1" applyAlignment="1">
      <alignment horizontal="center"/>
    </xf>
    <xf numFmtId="0" fontId="16" fillId="21" borderId="11" xfId="0" applyNumberFormat="1" applyFont="1" applyFill="1" applyBorder="1" applyAlignment="1" applyProtection="1">
      <alignment horizontal="center" vertical="center"/>
      <protection locked="0"/>
    </xf>
    <xf numFmtId="0" fontId="16" fillId="21" borderId="27" xfId="0" applyNumberFormat="1" applyFont="1" applyFill="1" applyBorder="1" applyAlignment="1" applyProtection="1">
      <alignment horizontal="center" vertical="center"/>
      <protection locked="0"/>
    </xf>
    <xf numFmtId="0" fontId="16" fillId="21" borderId="26" xfId="0" applyNumberFormat="1" applyFont="1" applyFill="1" applyBorder="1" applyAlignment="1" applyProtection="1">
      <alignment horizontal="center" vertical="center"/>
      <protection locked="0"/>
    </xf>
    <xf numFmtId="0" fontId="5" fillId="2" borderId="34" xfId="1" applyFont="1" applyFill="1" applyBorder="1" applyAlignment="1" applyProtection="1">
      <alignment horizontal="left" vertical="center"/>
      <protection locked="0"/>
    </xf>
    <xf numFmtId="0" fontId="5" fillId="2" borderId="74" xfId="1" applyFont="1" applyFill="1" applyBorder="1" applyAlignment="1" applyProtection="1">
      <alignment horizontal="left" vertical="center"/>
      <protection locked="0"/>
    </xf>
    <xf numFmtId="0" fontId="5" fillId="0" borderId="28" xfId="1" applyFont="1" applyFill="1" applyBorder="1" applyAlignment="1" applyProtection="1">
      <alignment horizontal="center" vertical="center" textRotation="90"/>
    </xf>
    <xf numFmtId="0" fontId="5" fillId="0" borderId="9" xfId="1" applyFont="1" applyBorder="1" applyAlignment="1">
      <alignment horizontal="center"/>
    </xf>
    <xf numFmtId="0" fontId="5" fillId="0" borderId="25" xfId="1" applyFont="1" applyBorder="1" applyAlignment="1">
      <alignment horizontal="center"/>
    </xf>
    <xf numFmtId="0" fontId="56" fillId="0" borderId="2" xfId="1" applyFont="1" applyBorder="1" applyAlignment="1" applyProtection="1">
      <alignment horizontal="center" vertical="center"/>
    </xf>
    <xf numFmtId="0" fontId="56" fillId="0" borderId="4" xfId="1" applyFont="1" applyBorder="1" applyAlignment="1" applyProtection="1">
      <alignment horizontal="center" vertical="center"/>
    </xf>
    <xf numFmtId="0" fontId="76" fillId="0" borderId="0" xfId="1" applyFont="1" applyAlignment="1" applyProtection="1">
      <alignment horizontal="left"/>
    </xf>
    <xf numFmtId="0" fontId="5" fillId="2" borderId="9" xfId="1" applyFill="1" applyBorder="1" applyAlignment="1" applyProtection="1">
      <alignment horizontal="center" vertical="center"/>
      <protection locked="0"/>
    </xf>
    <xf numFmtId="0" fontId="5" fillId="2" borderId="21" xfId="1" applyFill="1" applyBorder="1" applyAlignment="1" applyProtection="1">
      <alignment horizontal="center" vertical="center"/>
      <protection locked="0"/>
    </xf>
    <xf numFmtId="0" fontId="5" fillId="2" borderId="45" xfId="1" applyFill="1" applyBorder="1" applyAlignment="1" applyProtection="1">
      <alignment horizontal="left" vertical="center"/>
      <protection locked="0"/>
    </xf>
    <xf numFmtId="0" fontId="5" fillId="2" borderId="15" xfId="1" applyFill="1" applyBorder="1" applyAlignment="1" applyProtection="1">
      <alignment horizontal="left" vertical="center"/>
      <protection locked="0"/>
    </xf>
    <xf numFmtId="0" fontId="5" fillId="2" borderId="6" xfId="1" applyFill="1" applyBorder="1" applyAlignment="1" applyProtection="1">
      <alignment horizontal="left" vertical="center"/>
      <protection locked="0"/>
    </xf>
    <xf numFmtId="0" fontId="5" fillId="2" borderId="46" xfId="1" applyFill="1" applyBorder="1" applyAlignment="1" applyProtection="1">
      <alignment horizontal="left" vertical="center"/>
      <protection locked="0"/>
    </xf>
    <xf numFmtId="0" fontId="5" fillId="2" borderId="0" xfId="1" applyFill="1" applyBorder="1" applyAlignment="1" applyProtection="1">
      <alignment horizontal="left" vertical="center"/>
      <protection locked="0"/>
    </xf>
    <xf numFmtId="0" fontId="5" fillId="2" borderId="13" xfId="1" applyFill="1" applyBorder="1" applyAlignment="1" applyProtection="1">
      <alignment horizontal="left" vertical="center"/>
      <protection locked="0"/>
    </xf>
    <xf numFmtId="0" fontId="5" fillId="2" borderId="47" xfId="1" applyFill="1" applyBorder="1" applyAlignment="1" applyProtection="1">
      <alignment horizontal="left" vertical="center"/>
      <protection locked="0"/>
    </xf>
    <xf numFmtId="0" fontId="5" fillId="2" borderId="16" xfId="1" applyFill="1" applyBorder="1" applyAlignment="1" applyProtection="1">
      <alignment horizontal="left" vertical="center"/>
      <protection locked="0"/>
    </xf>
    <xf numFmtId="0" fontId="5" fillId="2" borderId="14" xfId="1" applyFill="1" applyBorder="1" applyAlignment="1" applyProtection="1">
      <alignment horizontal="left" vertical="center"/>
      <protection locked="0"/>
    </xf>
    <xf numFmtId="0" fontId="5" fillId="2" borderId="25" xfId="1" applyFill="1" applyBorder="1" applyAlignment="1" applyProtection="1">
      <alignment horizontal="center" vertical="center"/>
      <protection locked="0"/>
    </xf>
    <xf numFmtId="0" fontId="5" fillId="2" borderId="7" xfId="1" applyFill="1" applyBorder="1" applyAlignment="1" applyProtection="1">
      <alignment horizontal="center" vertical="center"/>
      <protection locked="0"/>
    </xf>
    <xf numFmtId="0" fontId="5" fillId="2" borderId="20" xfId="1" applyFill="1" applyBorder="1" applyAlignment="1" applyProtection="1">
      <alignment horizontal="center" vertical="center"/>
      <protection locked="0"/>
    </xf>
    <xf numFmtId="0" fontId="5" fillId="2" borderId="8" xfId="1" applyFill="1" applyBorder="1" applyAlignment="1" applyProtection="1">
      <alignment horizontal="center" vertical="center"/>
      <protection locked="0"/>
    </xf>
    <xf numFmtId="0" fontId="5" fillId="0" borderId="16" xfId="1" applyBorder="1" applyAlignment="1" applyProtection="1">
      <alignment horizontal="center"/>
    </xf>
    <xf numFmtId="0" fontId="5" fillId="2" borderId="20" xfId="1" applyFont="1" applyFill="1" applyBorder="1" applyAlignment="1" applyProtection="1">
      <alignment horizontal="left" vertical="center"/>
      <protection locked="0"/>
    </xf>
    <xf numFmtId="0" fontId="5" fillId="2" borderId="8" xfId="1" applyFont="1" applyFill="1" applyBorder="1" applyAlignment="1" applyProtection="1">
      <alignment horizontal="left" vertical="center"/>
      <protection locked="0"/>
    </xf>
    <xf numFmtId="0" fontId="56" fillId="0" borderId="17" xfId="1" applyFont="1" applyBorder="1" applyAlignment="1" applyProtection="1">
      <alignment horizontal="center" vertical="center"/>
    </xf>
    <xf numFmtId="0" fontId="56" fillId="0" borderId="18" xfId="1" applyFont="1" applyBorder="1" applyAlignment="1" applyProtection="1">
      <alignment horizontal="center" vertical="center"/>
    </xf>
    <xf numFmtId="0" fontId="5" fillId="20" borderId="47" xfId="1" applyFill="1" applyBorder="1" applyAlignment="1" applyProtection="1">
      <alignment horizontal="center"/>
    </xf>
    <xf numFmtId="0" fontId="5" fillId="20" borderId="16" xfId="1" applyFill="1" applyBorder="1" applyAlignment="1" applyProtection="1">
      <alignment horizontal="center"/>
    </xf>
    <xf numFmtId="0" fontId="5" fillId="20" borderId="14" xfId="1" applyFill="1" applyBorder="1" applyAlignment="1" applyProtection="1">
      <alignment horizontal="center"/>
    </xf>
    <xf numFmtId="0" fontId="5" fillId="20" borderId="45" xfId="1" applyFill="1" applyBorder="1" applyAlignment="1" applyProtection="1">
      <alignment horizontal="center" vertical="center"/>
    </xf>
    <xf numFmtId="0" fontId="5" fillId="20" borderId="6" xfId="1" applyFill="1" applyBorder="1" applyAlignment="1" applyProtection="1">
      <alignment horizontal="center" vertical="center"/>
    </xf>
    <xf numFmtId="0" fontId="5" fillId="20" borderId="47" xfId="1" applyFill="1" applyBorder="1" applyAlignment="1" applyProtection="1">
      <alignment horizontal="center" vertical="center"/>
    </xf>
    <xf numFmtId="0" fontId="5" fillId="20" borderId="14" xfId="1" applyFill="1" applyBorder="1" applyAlignment="1" applyProtection="1">
      <alignment horizontal="center" vertical="center"/>
    </xf>
    <xf numFmtId="0" fontId="8" fillId="3" borderId="10" xfId="1" applyFont="1" applyFill="1" applyBorder="1" applyAlignment="1">
      <alignment horizontal="center" textRotation="90"/>
    </xf>
    <xf numFmtId="0" fontId="8" fillId="3" borderId="23" xfId="1" applyFont="1" applyFill="1" applyBorder="1" applyAlignment="1">
      <alignment horizontal="center" textRotation="90"/>
    </xf>
    <xf numFmtId="0" fontId="8" fillId="3" borderId="43" xfId="1" applyFont="1" applyFill="1" applyBorder="1" applyAlignment="1">
      <alignment horizontal="center" textRotation="90"/>
    </xf>
    <xf numFmtId="0" fontId="56" fillId="0" borderId="9" xfId="1" applyFont="1" applyFill="1" applyBorder="1" applyAlignment="1" applyProtection="1">
      <alignment horizontal="center" vertical="center"/>
    </xf>
    <xf numFmtId="0" fontId="56" fillId="0" borderId="21" xfId="1" applyFont="1" applyFill="1" applyBorder="1" applyAlignment="1" applyProtection="1">
      <alignment horizontal="center" vertical="center"/>
    </xf>
    <xf numFmtId="0" fontId="56" fillId="0" borderId="25" xfId="1" applyFont="1" applyFill="1" applyBorder="1" applyAlignment="1" applyProtection="1">
      <alignment horizontal="center" vertical="center"/>
    </xf>
    <xf numFmtId="0" fontId="56" fillId="0" borderId="7" xfId="1" applyFont="1" applyFill="1" applyBorder="1" applyAlignment="1" applyProtection="1">
      <alignment horizontal="center" vertical="center"/>
    </xf>
    <xf numFmtId="0" fontId="56" fillId="0" borderId="0" xfId="1" applyFont="1" applyBorder="1" applyAlignment="1" applyProtection="1">
      <alignment horizontal="center" vertical="center"/>
    </xf>
    <xf numFmtId="0" fontId="56" fillId="0" borderId="0" xfId="1" applyFont="1" applyFill="1" applyBorder="1" applyAlignment="1" applyProtection="1">
      <alignment horizontal="center" vertical="center"/>
    </xf>
    <xf numFmtId="49" fontId="5" fillId="2" borderId="7" xfId="1" applyNumberFormat="1" applyFont="1" applyFill="1" applyBorder="1" applyAlignment="1" applyProtection="1">
      <alignment horizontal="left" vertical="top" wrapText="1"/>
      <protection locked="0"/>
    </xf>
    <xf numFmtId="49" fontId="5" fillId="2" borderId="8" xfId="1" applyNumberFormat="1" applyFont="1" applyFill="1" applyBorder="1" applyAlignment="1" applyProtection="1">
      <alignment horizontal="left" vertical="top" wrapText="1"/>
      <protection locked="0"/>
    </xf>
    <xf numFmtId="9" fontId="5" fillId="3" borderId="2" xfId="4" applyFont="1" applyFill="1" applyBorder="1" applyAlignment="1" applyProtection="1">
      <alignment horizontal="center" vertical="center" textRotation="90"/>
    </xf>
    <xf numFmtId="9" fontId="5" fillId="3" borderId="4" xfId="4" applyFont="1" applyFill="1" applyBorder="1" applyAlignment="1" applyProtection="1">
      <alignment horizontal="center" vertical="center" textRotation="90"/>
    </xf>
    <xf numFmtId="9" fontId="5" fillId="3" borderId="5" xfId="4" applyFont="1" applyFill="1" applyBorder="1" applyAlignment="1" applyProtection="1">
      <alignment horizontal="center" vertical="center" textRotation="90"/>
    </xf>
    <xf numFmtId="0" fontId="56" fillId="0" borderId="17" xfId="1" applyFont="1" applyBorder="1" applyAlignment="1" applyProtection="1">
      <alignment horizontal="left" vertical="center"/>
    </xf>
    <xf numFmtId="0" fontId="56" fillId="0" borderId="18" xfId="1" applyFont="1" applyBorder="1" applyAlignment="1" applyProtection="1">
      <alignment horizontal="left" vertical="center"/>
    </xf>
    <xf numFmtId="0" fontId="5" fillId="2" borderId="21" xfId="1" applyFont="1" applyFill="1" applyBorder="1" applyAlignment="1" applyProtection="1">
      <alignment horizontal="left" vertical="top" wrapText="1"/>
      <protection locked="0"/>
    </xf>
    <xf numFmtId="0" fontId="5" fillId="2" borderId="7" xfId="1" applyFont="1" applyFill="1" applyBorder="1" applyAlignment="1" applyProtection="1">
      <alignment horizontal="left" vertical="top" wrapText="1"/>
      <protection locked="0"/>
    </xf>
    <xf numFmtId="0" fontId="5" fillId="6" borderId="7" xfId="1" applyFill="1" applyBorder="1" applyAlignment="1">
      <alignment horizontal="left" vertical="top" wrapText="1"/>
    </xf>
    <xf numFmtId="0" fontId="5" fillId="6" borderId="8" xfId="1" applyFill="1" applyBorder="1" applyAlignment="1">
      <alignment horizontal="left" vertical="top" wrapText="1"/>
    </xf>
    <xf numFmtId="9" fontId="5" fillId="3" borderId="4" xfId="4" applyFont="1" applyFill="1" applyBorder="1" applyAlignment="1" applyProtection="1">
      <alignment horizontal="left" vertical="center" textRotation="90"/>
    </xf>
    <xf numFmtId="9" fontId="5" fillId="3" borderId="5" xfId="4" applyFont="1" applyFill="1" applyBorder="1" applyAlignment="1" applyProtection="1">
      <alignment horizontal="left" vertical="center" textRotation="90"/>
    </xf>
    <xf numFmtId="0" fontId="5" fillId="2" borderId="7" xfId="1" applyNumberFormat="1" applyFont="1" applyFill="1" applyBorder="1" applyAlignment="1" applyProtection="1">
      <alignment horizontal="left" vertical="top" wrapText="1"/>
      <protection locked="0"/>
    </xf>
    <xf numFmtId="0" fontId="5" fillId="2" borderId="8" xfId="1" applyNumberFormat="1" applyFont="1" applyFill="1" applyBorder="1" applyAlignment="1" applyProtection="1">
      <alignment horizontal="left" vertical="top" wrapText="1"/>
      <protection locked="0"/>
    </xf>
    <xf numFmtId="0" fontId="22" fillId="0" borderId="0" xfId="1" applyFont="1" applyFill="1" applyBorder="1" applyAlignment="1" applyProtection="1">
      <alignment horizontal="center"/>
      <protection locked="0"/>
    </xf>
    <xf numFmtId="0" fontId="22" fillId="0" borderId="0" xfId="1" applyFont="1" applyBorder="1" applyAlignment="1" applyProtection="1">
      <alignment horizontal="center"/>
    </xf>
    <xf numFmtId="0" fontId="5" fillId="19" borderId="9" xfId="0" applyFont="1" applyFill="1" applyBorder="1" applyAlignment="1" applyProtection="1">
      <alignment horizontal="center" vertical="center"/>
      <protection locked="0"/>
    </xf>
    <xf numFmtId="0" fontId="0" fillId="19" borderId="9" xfId="0"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22" fillId="2" borderId="36" xfId="1" applyFont="1" applyFill="1" applyBorder="1" applyAlignment="1" applyProtection="1">
      <alignment horizontal="center" vertical="center"/>
      <protection locked="0"/>
    </xf>
    <xf numFmtId="0" fontId="22" fillId="2" borderId="22" xfId="1" applyFont="1" applyFill="1" applyBorder="1" applyAlignment="1" applyProtection="1">
      <alignment horizontal="center" vertical="center"/>
      <protection locked="0"/>
    </xf>
    <xf numFmtId="0" fontId="5" fillId="19" borderId="25" xfId="0" applyFont="1" applyFill="1" applyBorder="1" applyAlignment="1" applyProtection="1">
      <alignment horizontal="center" vertical="center"/>
      <protection locked="0"/>
    </xf>
    <xf numFmtId="0" fontId="0" fillId="19" borderId="25" xfId="0" applyFill="1" applyBorder="1" applyAlignment="1" applyProtection="1">
      <alignment horizontal="center" vertical="center"/>
      <protection locked="0"/>
    </xf>
    <xf numFmtId="0" fontId="0" fillId="19" borderId="11" xfId="0" applyFill="1" applyBorder="1" applyAlignment="1" applyProtection="1">
      <alignment horizontal="center" vertical="center"/>
      <protection locked="0"/>
    </xf>
    <xf numFmtId="0" fontId="22" fillId="2" borderId="38" xfId="1" applyFont="1" applyFill="1" applyBorder="1" applyAlignment="1" applyProtection="1">
      <alignment horizontal="center" vertical="center"/>
      <protection locked="0"/>
    </xf>
    <xf numFmtId="0" fontId="22" fillId="2" borderId="26" xfId="1" applyFont="1" applyFill="1" applyBorder="1" applyAlignment="1" applyProtection="1">
      <alignment horizontal="center" vertical="center"/>
      <protection locked="0"/>
    </xf>
    <xf numFmtId="0" fontId="5" fillId="0" borderId="27" xfId="0" applyFont="1"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5" fillId="0" borderId="15" xfId="1" applyFont="1" applyFill="1" applyBorder="1" applyAlignment="1" applyProtection="1">
      <alignment horizontal="center" vertical="center"/>
    </xf>
    <xf numFmtId="0" fontId="5" fillId="0" borderId="37" xfId="0" applyFont="1" applyFill="1" applyBorder="1" applyAlignment="1" applyProtection="1">
      <alignment horizontal="center" vertical="center"/>
      <protection locked="0"/>
    </xf>
    <xf numFmtId="0" fontId="0" fillId="0" borderId="37" xfId="0" applyFill="1"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5" fillId="19" borderId="20" xfId="0" applyFont="1" applyFill="1" applyBorder="1" applyAlignment="1" applyProtection="1">
      <alignment horizontal="center" vertical="center"/>
      <protection locked="0"/>
    </xf>
    <xf numFmtId="0" fontId="0" fillId="19" borderId="20" xfId="0" applyFill="1" applyBorder="1" applyAlignment="1" applyProtection="1">
      <alignment horizontal="center" vertical="center"/>
      <protection locked="0"/>
    </xf>
    <xf numFmtId="0" fontId="0" fillId="19" borderId="12" xfId="0" applyFill="1" applyBorder="1" applyAlignment="1" applyProtection="1">
      <alignment horizontal="center" vertical="center"/>
      <protection locked="0"/>
    </xf>
    <xf numFmtId="0" fontId="22" fillId="2" borderId="39" xfId="1" applyFont="1" applyFill="1" applyBorder="1" applyAlignment="1" applyProtection="1">
      <alignment horizontal="center" vertical="center"/>
      <protection locked="0"/>
    </xf>
    <xf numFmtId="0" fontId="22" fillId="2" borderId="40" xfId="1" applyFont="1" applyFill="1" applyBorder="1" applyAlignment="1" applyProtection="1">
      <alignment horizontal="center" vertical="center"/>
      <protection locked="0"/>
    </xf>
    <xf numFmtId="0" fontId="5" fillId="0" borderId="41" xfId="0" applyFont="1" applyFill="1" applyBorder="1" applyAlignment="1" applyProtection="1">
      <alignment horizontal="center" vertical="center"/>
      <protection locked="0"/>
    </xf>
    <xf numFmtId="0" fontId="0" fillId="0" borderId="41"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22" fillId="0" borderId="37" xfId="1" applyFont="1" applyFill="1" applyBorder="1" applyAlignment="1" applyProtection="1">
      <alignment horizontal="center" vertical="center"/>
      <protection locked="0"/>
    </xf>
    <xf numFmtId="0" fontId="22" fillId="0" borderId="30" xfId="1" applyFont="1" applyFill="1" applyBorder="1" applyAlignment="1" applyProtection="1">
      <alignment horizontal="center" vertical="center"/>
      <protection locked="0"/>
    </xf>
    <xf numFmtId="0" fontId="22" fillId="0" borderId="27" xfId="1" applyFont="1" applyFill="1" applyBorder="1" applyAlignment="1" applyProtection="1">
      <alignment horizontal="center" vertical="center"/>
      <protection locked="0"/>
    </xf>
    <xf numFmtId="0" fontId="22" fillId="0" borderId="33" xfId="1" applyFont="1" applyFill="1" applyBorder="1" applyAlignment="1" applyProtection="1">
      <alignment horizontal="center" vertical="center"/>
      <protection locked="0"/>
    </xf>
    <xf numFmtId="0" fontId="22" fillId="0" borderId="15" xfId="1" applyFont="1" applyFill="1" applyBorder="1" applyAlignment="1" applyProtection="1">
      <alignment horizontal="center" vertical="center"/>
    </xf>
    <xf numFmtId="0" fontId="22" fillId="0" borderId="41" xfId="1" applyFont="1" applyFill="1" applyBorder="1" applyAlignment="1" applyProtection="1">
      <alignment horizontal="center" vertical="center"/>
      <protection locked="0"/>
    </xf>
    <xf numFmtId="0" fontId="22" fillId="0" borderId="42" xfId="1" applyFont="1" applyFill="1" applyBorder="1" applyAlignment="1" applyProtection="1">
      <alignment horizontal="center" vertical="center"/>
      <protection locked="0"/>
    </xf>
    <xf numFmtId="0" fontId="0" fillId="19" borderId="21" xfId="0"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19" borderId="25" xfId="0" quotePrefix="1" applyFont="1" applyFill="1" applyBorder="1" applyAlignment="1" applyProtection="1">
      <alignment horizontal="center" vertical="center"/>
      <protection locked="0"/>
    </xf>
    <xf numFmtId="0" fontId="0" fillId="19" borderId="7" xfId="0" applyFill="1" applyBorder="1" applyAlignment="1" applyProtection="1">
      <alignment horizontal="center" vertical="center"/>
      <protection locked="0"/>
    </xf>
    <xf numFmtId="0" fontId="5" fillId="0" borderId="25" xfId="0" applyFont="1"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19" borderId="8" xfId="0" applyFill="1" applyBorder="1" applyAlignment="1" applyProtection="1">
      <alignment horizontal="center" vertical="center"/>
      <protection locked="0"/>
    </xf>
    <xf numFmtId="0" fontId="5" fillId="0" borderId="20" xfId="0" applyFont="1"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0" fillId="0" borderId="8" xfId="0" applyFill="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58" fillId="26" borderId="0" xfId="1" applyFont="1" applyFill="1" applyAlignment="1">
      <alignment horizontal="center" vertical="center"/>
    </xf>
    <xf numFmtId="0" fontId="15" fillId="0" borderId="15" xfId="1" applyFont="1" applyBorder="1" applyAlignment="1">
      <alignment horizontal="right" vertical="center" textRotation="90" wrapText="1"/>
    </xf>
    <xf numFmtId="0" fontId="15" fillId="0" borderId="0" xfId="1" applyFont="1" applyBorder="1" applyAlignment="1">
      <alignment horizontal="right" vertical="center" textRotation="90"/>
    </xf>
    <xf numFmtId="0" fontId="15" fillId="0" borderId="2" xfId="1" applyFont="1" applyBorder="1" applyAlignment="1">
      <alignment horizontal="center" textRotation="90"/>
    </xf>
    <xf numFmtId="0" fontId="15" fillId="0" borderId="4" xfId="1" applyFont="1" applyBorder="1" applyAlignment="1">
      <alignment horizontal="center" textRotation="90"/>
    </xf>
    <xf numFmtId="0" fontId="15" fillId="0" borderId="9" xfId="1" applyFont="1" applyBorder="1" applyAlignment="1">
      <alignment horizontal="center" textRotation="90"/>
    </xf>
    <xf numFmtId="0" fontId="15" fillId="0" borderId="25" xfId="1" applyFont="1" applyBorder="1" applyAlignment="1">
      <alignment horizontal="center" textRotation="90"/>
    </xf>
    <xf numFmtId="0" fontId="15" fillId="0" borderId="21" xfId="1" applyFont="1" applyBorder="1" applyAlignment="1">
      <alignment horizontal="center" textRotation="90"/>
    </xf>
    <xf numFmtId="0" fontId="15" fillId="0" borderId="7" xfId="1" applyFont="1" applyBorder="1" applyAlignment="1">
      <alignment horizontal="center" textRotation="90"/>
    </xf>
    <xf numFmtId="0" fontId="15" fillId="0" borderId="45" xfId="1" applyFont="1" applyBorder="1" applyAlignment="1">
      <alignment horizontal="left" vertical="center"/>
    </xf>
    <xf numFmtId="0" fontId="15" fillId="0" borderId="51" xfId="1" applyFont="1" applyBorder="1" applyAlignment="1">
      <alignment horizontal="left" vertical="center"/>
    </xf>
    <xf numFmtId="0" fontId="61" fillId="0" borderId="47" xfId="1" applyFont="1" applyBorder="1" applyAlignment="1">
      <alignment horizontal="left" vertical="center"/>
    </xf>
    <xf numFmtId="0" fontId="61" fillId="0" borderId="52" xfId="1" applyFont="1" applyBorder="1" applyAlignment="1">
      <alignment horizontal="left" vertical="center"/>
    </xf>
    <xf numFmtId="0" fontId="15" fillId="0" borderId="15" xfId="1" applyFont="1" applyBorder="1" applyAlignment="1" applyProtection="1">
      <alignment horizontal="center" vertical="center" wrapText="1"/>
    </xf>
    <xf numFmtId="0" fontId="15" fillId="0" borderId="54"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5" xfId="1" applyFont="1" applyBorder="1" applyAlignment="1" applyProtection="1">
      <alignment horizontal="center" vertical="center"/>
    </xf>
    <xf numFmtId="0" fontId="15" fillId="20" borderId="36" xfId="1" applyFont="1" applyFill="1" applyBorder="1" applyAlignment="1">
      <alignment horizontal="left" vertical="center"/>
    </xf>
    <xf numFmtId="0" fontId="15" fillId="20" borderId="37" xfId="1" applyFont="1" applyFill="1" applyBorder="1" applyAlignment="1">
      <alignment horizontal="left" vertical="center"/>
    </xf>
    <xf numFmtId="0" fontId="15" fillId="20" borderId="30" xfId="1" applyFont="1" applyFill="1" applyBorder="1" applyAlignment="1">
      <alignment horizontal="left" vertical="center"/>
    </xf>
    <xf numFmtId="0" fontId="15" fillId="0" borderId="45" xfId="1" applyFont="1" applyBorder="1" applyAlignment="1" applyProtection="1">
      <alignment horizontal="center" vertical="center"/>
    </xf>
    <xf numFmtId="0" fontId="15" fillId="0" borderId="53" xfId="1" applyFont="1" applyBorder="1" applyAlignment="1" applyProtection="1">
      <alignment horizontal="center" vertical="center"/>
    </xf>
    <xf numFmtId="0" fontId="15" fillId="0" borderId="15" xfId="1" applyFont="1" applyBorder="1" applyAlignment="1" applyProtection="1">
      <alignment horizontal="center" vertical="center"/>
    </xf>
    <xf numFmtId="2" fontId="15" fillId="0" borderId="64" xfId="1" applyNumberFormat="1" applyFont="1" applyBorder="1" applyAlignment="1" applyProtection="1">
      <alignment horizontal="center" vertical="center"/>
    </xf>
    <xf numFmtId="2" fontId="15" fillId="0" borderId="52" xfId="1" applyNumberFormat="1" applyFont="1" applyBorder="1" applyAlignment="1" applyProtection="1">
      <alignment horizontal="center" vertical="center"/>
    </xf>
    <xf numFmtId="0" fontId="15" fillId="0" borderId="0" xfId="1" applyFont="1" applyFill="1" applyBorder="1" applyAlignment="1">
      <alignment horizontal="left" vertical="center"/>
    </xf>
    <xf numFmtId="0" fontId="15" fillId="0" borderId="4" xfId="1" applyFont="1" applyBorder="1" applyAlignment="1">
      <alignment horizontal="left"/>
    </xf>
    <xf numFmtId="0" fontId="15" fillId="0" borderId="11" xfId="1" applyFont="1" applyBorder="1" applyAlignment="1">
      <alignment horizontal="left"/>
    </xf>
    <xf numFmtId="0" fontId="15" fillId="0" borderId="59" xfId="1" applyFont="1" applyBorder="1" applyAlignment="1">
      <alignment horizontal="center" vertical="center"/>
    </xf>
    <xf numFmtId="0" fontId="15" fillId="0" borderId="60" xfId="1" applyFont="1" applyBorder="1" applyAlignment="1">
      <alignment horizontal="center" vertical="center"/>
    </xf>
    <xf numFmtId="0" fontId="15" fillId="0" borderId="61" xfId="1" applyFont="1" applyBorder="1" applyAlignment="1">
      <alignment horizontal="center" vertical="center"/>
    </xf>
    <xf numFmtId="0" fontId="15" fillId="20" borderId="62" xfId="1" applyFont="1" applyFill="1" applyBorder="1" applyAlignment="1">
      <alignment horizontal="center" vertical="center"/>
    </xf>
    <xf numFmtId="0" fontId="15" fillId="20" borderId="51" xfId="1" applyFont="1" applyFill="1" applyBorder="1" applyAlignment="1">
      <alignment horizontal="center" vertical="center"/>
    </xf>
    <xf numFmtId="2" fontId="15" fillId="0" borderId="63" xfId="1" applyNumberFormat="1" applyFont="1" applyBorder="1" applyAlignment="1" applyProtection="1">
      <alignment horizontal="center" vertical="center"/>
    </xf>
    <xf numFmtId="2" fontId="15" fillId="0" borderId="28" xfId="1" applyNumberFormat="1" applyFont="1" applyBorder="1" applyAlignment="1" applyProtection="1">
      <alignment horizontal="center" vertical="center"/>
    </xf>
    <xf numFmtId="0" fontId="15" fillId="0" borderId="54" xfId="1" applyFont="1" applyBorder="1" applyAlignment="1">
      <alignment horizontal="right" vertical="center" textRotation="90"/>
    </xf>
    <xf numFmtId="0" fontId="77" fillId="14" borderId="34" xfId="1" applyFont="1" applyFill="1" applyBorder="1" applyAlignment="1">
      <alignment horizontal="center" vertical="center" wrapText="1"/>
    </xf>
    <xf numFmtId="0" fontId="77" fillId="14" borderId="25" xfId="1" applyFont="1" applyFill="1" applyBorder="1" applyAlignment="1">
      <alignment horizontal="center" vertical="center" wrapText="1"/>
    </xf>
    <xf numFmtId="0" fontId="77" fillId="0" borderId="31" xfId="1" applyFont="1" applyBorder="1" applyAlignment="1">
      <alignment horizontal="center" vertical="center"/>
    </xf>
    <xf numFmtId="0" fontId="77" fillId="0" borderId="34" xfId="1" applyFont="1" applyFill="1" applyBorder="1" applyAlignment="1">
      <alignment horizontal="left" vertical="center" wrapText="1"/>
    </xf>
    <xf numFmtId="0" fontId="77" fillId="0" borderId="34" xfId="1" applyFont="1" applyFill="1" applyBorder="1" applyAlignment="1">
      <alignment horizontal="left" vertical="center"/>
    </xf>
    <xf numFmtId="0" fontId="77" fillId="0" borderId="31" xfId="1" applyFont="1" applyFill="1" applyBorder="1" applyAlignment="1">
      <alignment horizontal="left" vertical="center"/>
    </xf>
    <xf numFmtId="0" fontId="77" fillId="0" borderId="25" xfId="1" applyFont="1" applyBorder="1" applyAlignment="1">
      <alignment horizontal="center" vertical="center" textRotation="180"/>
    </xf>
    <xf numFmtId="0" fontId="5" fillId="0" borderId="25" xfId="1" applyFont="1" applyBorder="1" applyAlignment="1">
      <alignment horizontal="center" vertical="center" textRotation="180"/>
    </xf>
    <xf numFmtId="0" fontId="77" fillId="0" borderId="25" xfId="1" applyFont="1" applyBorder="1" applyAlignment="1">
      <alignment horizontal="center" vertical="center" textRotation="180" wrapText="1"/>
    </xf>
    <xf numFmtId="0" fontId="66" fillId="0" borderId="67" xfId="1" applyFont="1" applyFill="1" applyBorder="1" applyAlignment="1" applyProtection="1">
      <alignment vertical="center" wrapText="1"/>
      <protection locked="0"/>
    </xf>
    <xf numFmtId="0" fontId="66" fillId="0" borderId="68" xfId="1" applyFont="1" applyFill="1" applyBorder="1" applyAlignment="1" applyProtection="1">
      <alignment vertical="center" wrapText="1"/>
      <protection locked="0"/>
    </xf>
    <xf numFmtId="0" fontId="66" fillId="0" borderId="69" xfId="1" applyFont="1" applyFill="1" applyBorder="1" applyAlignment="1" applyProtection="1">
      <alignment vertical="center" wrapText="1"/>
      <protection locked="0"/>
    </xf>
    <xf numFmtId="0" fontId="66" fillId="19" borderId="0" xfId="1" applyFont="1" applyFill="1" applyAlignment="1" applyProtection="1">
      <alignment horizontal="left" vertical="top" wrapText="1"/>
      <protection locked="0"/>
    </xf>
    <xf numFmtId="0" fontId="66" fillId="0" borderId="0" xfId="1" applyFont="1" applyBorder="1" applyAlignment="1" applyProtection="1">
      <alignment horizontal="left" vertical="top" wrapText="1"/>
      <protection locked="0"/>
    </xf>
    <xf numFmtId="0" fontId="67" fillId="0" borderId="0" xfId="1" applyFont="1" applyAlignment="1">
      <alignment horizontal="left" vertical="top" wrapText="1"/>
    </xf>
    <xf numFmtId="0" fontId="66" fillId="0" borderId="0" xfId="1" applyFont="1" applyBorder="1" applyAlignment="1" applyProtection="1">
      <alignment vertical="center" wrapText="1"/>
      <protection locked="0"/>
    </xf>
    <xf numFmtId="0" fontId="69" fillId="0" borderId="0" xfId="1" applyFont="1" applyAlignment="1">
      <alignment horizontal="left" vertical="top" wrapText="1"/>
    </xf>
  </cellXfs>
  <cellStyles count="11">
    <cellStyle name="Hyperlink" xfId="5" builtinId="8"/>
    <cellStyle name="Komma 2" xfId="9" xr:uid="{0DD7ABBA-1D0E-4057-B8CC-7C445756F64D}"/>
    <cellStyle name="Procent 2" xfId="4" xr:uid="{00000000-0005-0000-0000-000001000000}"/>
    <cellStyle name="Procent 2 2" xfId="8" xr:uid="{E3D21EF0-8F57-4FDC-AEB0-A5FBA9476D80}"/>
    <cellStyle name="Standaard" xfId="0" builtinId="0"/>
    <cellStyle name="Standaard 2" xfId="1" xr:uid="{00000000-0005-0000-0000-000003000000}"/>
    <cellStyle name="Standaard 2 2" xfId="10" xr:uid="{95FDE69F-2552-4571-A722-215CA2E33C1C}"/>
    <cellStyle name="Standaard 3" xfId="2" xr:uid="{00000000-0005-0000-0000-000004000000}"/>
    <cellStyle name="Standaard 3 2 2" xfId="3" xr:uid="{00000000-0005-0000-0000-000005000000}"/>
    <cellStyle name="Standaard 3 2 2 2" xfId="6" xr:uid="{00000000-0005-0000-0000-000006000000}"/>
    <cellStyle name="Standaard 4" xfId="7" xr:uid="{67301288-C559-4DB2-B4CF-B4634149E749}"/>
  </cellStyles>
  <dxfs count="1771">
    <dxf>
      <fill>
        <patternFill>
          <bgColor indexed="31"/>
        </patternFill>
      </fill>
      <border>
        <left style="hair">
          <color indexed="64"/>
        </left>
        <right style="hair">
          <color indexed="64"/>
        </right>
        <top style="hair">
          <color indexed="64"/>
        </top>
        <bottom style="hair">
          <color indexed="64"/>
        </bottom>
      </border>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ill>
        <patternFill>
          <bgColor indexed="11"/>
        </patternFill>
      </fill>
    </dxf>
    <dxf>
      <font>
        <condense val="0"/>
        <extend val="0"/>
        <color indexed="9"/>
      </font>
      <fill>
        <patternFill>
          <bgColor indexed="10"/>
        </patternFill>
      </fill>
    </dxf>
    <dxf>
      <font>
        <condense val="0"/>
        <extend val="0"/>
        <color indexed="10"/>
      </font>
    </dxf>
    <dxf>
      <font>
        <condense val="0"/>
        <extend val="0"/>
        <color indexed="9"/>
      </font>
    </dxf>
    <dxf>
      <fill>
        <patternFill>
          <bgColor indexed="13"/>
        </patternFill>
      </fill>
    </dxf>
    <dxf>
      <fill>
        <patternFill>
          <bgColor indexed="40"/>
        </patternFill>
      </fill>
    </dxf>
    <dxf>
      <font>
        <condense val="0"/>
        <extend val="0"/>
        <color indexed="9"/>
      </font>
    </dxf>
    <dxf>
      <fill>
        <patternFill>
          <bgColor indexed="11"/>
        </patternFill>
      </fill>
    </dxf>
    <dxf>
      <font>
        <condense val="0"/>
        <extend val="0"/>
        <color auto="1"/>
      </font>
      <fill>
        <patternFill>
          <bgColor indexed="13"/>
        </patternFill>
      </fill>
    </dxf>
    <dxf>
      <fill>
        <patternFill>
          <bgColor indexed="51"/>
        </patternFill>
      </fill>
    </dxf>
    <dxf>
      <fill>
        <patternFill>
          <bgColor indexed="31"/>
        </patternFill>
      </fill>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ont>
        <color rgb="FFFF0000"/>
      </font>
      <fill>
        <patternFill patternType="none">
          <bgColor auto="1"/>
        </patternFill>
      </fill>
    </dxf>
    <dxf>
      <font>
        <color rgb="FF0000FF"/>
      </font>
      <fill>
        <patternFill patternType="none">
          <bgColor auto="1"/>
        </patternFill>
      </fill>
    </dxf>
    <dxf>
      <font>
        <color theme="0"/>
      </font>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ont>
        <color theme="0"/>
      </font>
      <fill>
        <patternFill>
          <bgColor rgb="FFFF0000"/>
        </patternFill>
      </fill>
    </dxf>
    <dxf>
      <font>
        <color theme="0"/>
      </font>
      <fill>
        <patternFill>
          <bgColor rgb="FF0070C0"/>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ont>
        <color theme="0"/>
      </font>
      <fill>
        <patternFill>
          <bgColor rgb="FFFF0000"/>
        </patternFill>
      </fill>
    </dxf>
    <dxf>
      <font>
        <color theme="0"/>
      </font>
      <fill>
        <patternFill>
          <bgColor rgb="FF0070C0"/>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rgb="FFFFFF99"/>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FFFF99"/>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rgb="FFFFFF99"/>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ont>
        <color rgb="FFFF0000"/>
      </font>
      <fill>
        <patternFill patternType="none">
          <bgColor auto="1"/>
        </patternFill>
      </fill>
    </dxf>
    <dxf>
      <font>
        <color rgb="FF0000FF"/>
      </font>
      <fill>
        <patternFill patternType="none">
          <bgColor auto="1"/>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theme="0"/>
      </font>
      <fill>
        <patternFill>
          <bgColor rgb="FFFF0000"/>
        </patternFill>
      </fill>
    </dxf>
    <dxf>
      <fill>
        <patternFill>
          <bgColor rgb="FF00B0F0"/>
        </patternFill>
      </fill>
    </dxf>
    <dxf>
      <fill>
        <patternFill>
          <bgColor rgb="FFCCCCFF"/>
        </patternFill>
      </fill>
    </dxf>
    <dxf>
      <fill>
        <patternFill>
          <bgColor rgb="FFFFC000"/>
        </patternFill>
      </fill>
    </dxf>
    <dxf>
      <fill>
        <patternFill>
          <bgColor rgb="FF92D050"/>
        </patternFill>
      </fill>
    </dxf>
    <dxf>
      <fill>
        <patternFill>
          <bgColor rgb="FFFFFF00"/>
        </patternFill>
      </fill>
    </dxf>
    <dxf>
      <font>
        <condense val="0"/>
        <extend val="0"/>
        <color indexed="9"/>
      </font>
      <fill>
        <patternFill>
          <bgColor indexed="10"/>
        </patternFill>
      </fill>
    </dxf>
    <dxf>
      <font>
        <condense val="0"/>
        <extend val="0"/>
        <color auto="1"/>
      </font>
      <fill>
        <patternFill>
          <bgColor indexed="51"/>
        </patternFill>
      </fill>
    </dxf>
    <dxf>
      <fill>
        <patternFill>
          <bgColor indexed="42"/>
        </patternFill>
      </fill>
    </dxf>
    <dxf>
      <fill>
        <patternFill>
          <bgColor rgb="FFCCCCFF"/>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indexed="13"/>
        </patternFill>
      </fill>
    </dxf>
    <dxf>
      <fill>
        <patternFill>
          <bgColor indexed="31"/>
        </patternFill>
      </fill>
    </dxf>
    <dxf>
      <fill>
        <patternFill>
          <bgColor indexed="13"/>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99CCFF"/>
      </font>
      <fill>
        <patternFill>
          <bgColor rgb="FF66CCFF"/>
        </patternFill>
      </fill>
    </dxf>
    <dxf>
      <font>
        <color rgb="FFCCFF99"/>
      </font>
      <fill>
        <patternFill>
          <bgColor rgb="FFCCFF99"/>
        </patternFill>
      </fill>
    </dxf>
    <dxf>
      <font>
        <color rgb="FFFFFF99"/>
      </font>
      <fill>
        <patternFill>
          <bgColor rgb="FFFFFF99"/>
        </patternFill>
      </fill>
    </dxf>
    <dxf>
      <font>
        <color rgb="FFFF7C80"/>
      </font>
      <fill>
        <patternFill>
          <bgColor rgb="FFFF7C80"/>
        </patternFill>
      </fill>
    </dxf>
    <dxf>
      <fill>
        <patternFill>
          <bgColor indexed="51"/>
        </patternFill>
      </fill>
    </dxf>
    <dxf>
      <fill>
        <patternFill>
          <bgColor indexed="31"/>
        </patternFill>
      </fill>
    </dxf>
    <dxf>
      <font>
        <color theme="1"/>
      </font>
      <fill>
        <patternFill>
          <bgColor rgb="FFFF9999"/>
        </patternFill>
      </fill>
    </dxf>
    <dxf>
      <font>
        <color theme="1"/>
      </font>
      <fill>
        <patternFill>
          <bgColor rgb="FFFF99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99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99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ont>
        <color theme="1"/>
      </font>
      <fill>
        <patternFill>
          <bgColor rgb="FFFFCC66"/>
        </patternFill>
      </fill>
    </dxf>
    <dxf>
      <font>
        <color theme="1"/>
      </font>
      <fill>
        <patternFill>
          <bgColor rgb="FFFFFF99"/>
        </patternFill>
      </fill>
    </dxf>
    <dxf>
      <font>
        <color theme="1"/>
      </font>
      <fill>
        <patternFill>
          <bgColor rgb="FFFFCC66"/>
        </patternFill>
      </fill>
    </dxf>
    <dxf>
      <fill>
        <patternFill>
          <bgColor rgb="FF99CCFF"/>
        </patternFill>
      </fill>
    </dxf>
    <dxf>
      <fill>
        <patternFill>
          <bgColor rgb="FFFF7C80"/>
        </patternFill>
      </fill>
    </dxf>
    <dxf>
      <font>
        <color theme="1"/>
      </font>
      <fill>
        <patternFill>
          <bgColor indexed="44"/>
        </patternFill>
      </fill>
    </dxf>
    <dxf>
      <font>
        <color theme="1"/>
      </font>
      <fill>
        <patternFill>
          <bgColor indexed="42"/>
        </patternFill>
      </fill>
    </dxf>
    <dxf>
      <font>
        <color theme="1"/>
      </font>
      <fill>
        <patternFill>
          <bgColor rgb="FFFF7C80"/>
        </patternFill>
      </fill>
    </dxf>
    <dxf>
      <font>
        <color rgb="FFFFFF99"/>
      </font>
      <fill>
        <patternFill>
          <bgColor rgb="FFFFFF99"/>
        </patternFill>
      </fill>
    </dxf>
    <dxf>
      <font>
        <color theme="1"/>
      </font>
      <fill>
        <patternFill>
          <bgColor rgb="FFFFFF99"/>
        </patternFill>
      </fill>
    </dxf>
    <dxf>
      <font>
        <color theme="1"/>
      </font>
      <fill>
        <patternFill>
          <bgColor indexed="29"/>
        </patternFill>
      </fill>
    </dxf>
    <dxf>
      <font>
        <color theme="1"/>
      </font>
      <fill>
        <patternFill>
          <bgColor indexed="42"/>
        </patternFill>
      </fill>
    </dxf>
    <dxf>
      <font>
        <color theme="1"/>
      </font>
      <fill>
        <patternFill>
          <bgColor indexed="44"/>
        </patternFill>
      </fill>
    </dxf>
    <dxf>
      <font>
        <color theme="1"/>
      </font>
      <fill>
        <patternFill>
          <bgColor rgb="FFFFFF99"/>
        </patternFill>
      </fill>
    </dxf>
    <dxf>
      <font>
        <color theme="1"/>
      </font>
      <fill>
        <patternFill>
          <bgColor rgb="FFFFFF99"/>
        </patternFill>
      </fill>
    </dxf>
    <dxf>
      <fill>
        <patternFill>
          <bgColor rgb="FFFFCC66"/>
        </patternFill>
      </fill>
    </dxf>
    <dxf>
      <font>
        <color theme="1"/>
      </font>
      <fill>
        <patternFill>
          <bgColor rgb="FFFF7C80"/>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rgb="FFFFFF99"/>
      </font>
      <fill>
        <patternFill>
          <bgColor rgb="FFFFFF99"/>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theme="1"/>
      </font>
      <fill>
        <patternFill>
          <bgColor rgb="FFFFFF99"/>
        </patternFill>
      </fill>
    </dxf>
    <dxf>
      <fill>
        <patternFill>
          <bgColor rgb="FFCCFFCC"/>
        </patternFill>
      </fill>
    </dxf>
    <dxf>
      <fill>
        <patternFill>
          <bgColor rgb="FF99CCFF"/>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ont>
        <color theme="1"/>
      </font>
      <fill>
        <patternFill>
          <bgColor rgb="FFFFFF99"/>
        </patternFill>
      </fill>
    </dxf>
    <dxf>
      <fill>
        <patternFill>
          <bgColor rgb="FFCCFFCC"/>
        </patternFill>
      </fill>
    </dxf>
    <dxf>
      <fill>
        <patternFill>
          <bgColor rgb="FF99CCFF"/>
        </patternFill>
      </fill>
    </dxf>
    <dxf>
      <font>
        <color theme="1"/>
      </font>
    </dxf>
    <dxf>
      <fill>
        <patternFill>
          <bgColor rgb="FF99CCFF"/>
        </patternFill>
      </fill>
    </dxf>
    <dxf>
      <fill>
        <patternFill>
          <bgColor rgb="FFFFCC66"/>
        </patternFill>
      </fill>
    </dxf>
    <dxf>
      <fill>
        <patternFill>
          <bgColor theme="0"/>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ont>
        <color rgb="FFFFFF99"/>
      </font>
      <fill>
        <patternFill>
          <bgColor rgb="FFFFFF99"/>
        </patternFill>
      </fill>
    </dxf>
    <dxf>
      <font>
        <color theme="1"/>
      </font>
      <fill>
        <patternFill>
          <bgColor rgb="FFFFFF99"/>
        </patternFill>
      </fill>
    </dxf>
    <dxf>
      <font>
        <color theme="1"/>
      </font>
      <fill>
        <patternFill>
          <bgColor indexed="44"/>
        </patternFill>
      </fill>
    </dxf>
    <dxf>
      <font>
        <color theme="1"/>
      </font>
      <fill>
        <patternFill>
          <bgColor indexed="42"/>
        </patternFill>
      </fill>
    </dxf>
    <dxf>
      <font>
        <color theme="1"/>
      </font>
      <fill>
        <patternFill>
          <bgColor indexed="29"/>
        </patternFill>
      </fill>
    </dxf>
    <dxf>
      <font>
        <color theme="1"/>
      </font>
    </dxf>
    <dxf>
      <font>
        <condense val="0"/>
        <extend val="0"/>
        <color auto="1"/>
      </font>
      <fill>
        <patternFill>
          <bgColor indexed="44"/>
        </patternFill>
      </fill>
    </dxf>
    <dxf>
      <font>
        <condense val="0"/>
        <extend val="0"/>
        <color auto="1"/>
      </font>
      <fill>
        <patternFill>
          <bgColor indexed="26"/>
        </patternFill>
      </fill>
    </dxf>
    <dxf>
      <font>
        <color theme="1"/>
      </font>
      <fill>
        <patternFill>
          <bgColor rgb="FFFFCC66"/>
        </patternFill>
      </fill>
    </dxf>
    <dxf>
      <font>
        <color theme="1"/>
      </font>
      <fill>
        <patternFill>
          <bgColor rgb="FFFFFF99"/>
        </patternFill>
      </fill>
    </dxf>
    <dxf>
      <font>
        <color theme="1"/>
      </font>
      <fill>
        <patternFill>
          <bgColor rgb="FFFFCC66"/>
        </patternFill>
      </fill>
    </dxf>
    <dxf>
      <fill>
        <patternFill>
          <bgColor rgb="FF99CCFF"/>
        </patternFill>
      </fill>
    </dxf>
    <dxf>
      <fill>
        <patternFill>
          <bgColor rgb="FFFF7C80"/>
        </patternFill>
      </fill>
    </dxf>
    <dxf>
      <font>
        <color theme="1"/>
      </font>
      <fill>
        <patternFill>
          <bgColor indexed="44"/>
        </patternFill>
      </fill>
    </dxf>
    <dxf>
      <font>
        <color theme="1"/>
      </font>
      <fill>
        <patternFill>
          <bgColor indexed="42"/>
        </patternFill>
      </fill>
    </dxf>
    <dxf>
      <font>
        <color theme="1"/>
      </font>
      <fill>
        <patternFill>
          <bgColor rgb="FFFF7C80"/>
        </patternFill>
      </fill>
    </dxf>
    <dxf>
      <font>
        <color rgb="FFFFFF99"/>
      </font>
      <fill>
        <patternFill>
          <bgColor rgb="FFFFFF99"/>
        </patternFill>
      </fill>
    </dxf>
    <dxf>
      <font>
        <color theme="1"/>
      </font>
      <fill>
        <patternFill>
          <bgColor rgb="FFFFFF99"/>
        </patternFill>
      </fill>
    </dxf>
    <dxf>
      <font>
        <color theme="1"/>
      </font>
      <fill>
        <patternFill>
          <bgColor indexed="29"/>
        </patternFill>
      </fill>
    </dxf>
    <dxf>
      <font>
        <color theme="1"/>
      </font>
      <fill>
        <patternFill>
          <bgColor indexed="42"/>
        </patternFill>
      </fill>
    </dxf>
    <dxf>
      <font>
        <color theme="1"/>
      </font>
      <fill>
        <patternFill>
          <bgColor indexed="44"/>
        </patternFill>
      </fill>
    </dxf>
    <dxf>
      <font>
        <color theme="1"/>
      </font>
      <fill>
        <patternFill>
          <bgColor rgb="FFFFFF99"/>
        </patternFill>
      </fill>
    </dxf>
    <dxf>
      <fill>
        <patternFill>
          <bgColor rgb="FF99CCFF"/>
        </patternFill>
      </fill>
    </dxf>
    <dxf>
      <fill>
        <patternFill>
          <bgColor rgb="FFFF7C80"/>
        </patternFill>
      </fill>
    </dxf>
    <dxf>
      <font>
        <color theme="1"/>
      </font>
      <fill>
        <patternFill>
          <bgColor rgb="FFFFFF99"/>
        </patternFill>
      </fill>
    </dxf>
    <dxf>
      <fill>
        <patternFill>
          <bgColor rgb="FFFFCC66"/>
        </patternFill>
      </fill>
    </dxf>
    <dxf>
      <font>
        <color theme="1"/>
      </font>
      <fill>
        <patternFill>
          <bgColor rgb="FFFF7C80"/>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rgb="FFFFFF99"/>
      </font>
      <fill>
        <patternFill>
          <bgColor rgb="FFFFFF99"/>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theme="1"/>
      </font>
      <fill>
        <patternFill>
          <bgColor rgb="FFFFFF99"/>
        </patternFill>
      </fill>
    </dxf>
    <dxf>
      <fill>
        <patternFill>
          <bgColor rgb="FFCCFFCC"/>
        </patternFill>
      </fill>
    </dxf>
    <dxf>
      <fill>
        <patternFill>
          <bgColor rgb="FF99CCFF"/>
        </patternFill>
      </fill>
    </dxf>
    <dxf>
      <font>
        <color theme="1"/>
      </font>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ill>
        <patternFill>
          <bgColor rgb="FF99CCFF"/>
        </patternFill>
      </fill>
    </dxf>
    <dxf>
      <fill>
        <patternFill>
          <bgColor rgb="FFFFCC66"/>
        </patternFill>
      </fill>
    </dxf>
    <dxf>
      <fill>
        <patternFill>
          <bgColor theme="0"/>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dxf>
    <dxf>
      <font>
        <color theme="1"/>
      </font>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ont>
        <color theme="1"/>
      </font>
      <fill>
        <patternFill>
          <bgColor rgb="FFFFCC66"/>
        </patternFill>
      </fill>
    </dxf>
    <dxf>
      <font>
        <color theme="1"/>
      </font>
      <fill>
        <patternFill>
          <bgColor rgb="FFFFFF99"/>
        </patternFill>
      </fill>
    </dxf>
    <dxf>
      <font>
        <color theme="1"/>
      </font>
      <fill>
        <patternFill>
          <bgColor rgb="FFFFFF99"/>
        </patternFill>
      </fill>
    </dxf>
    <dxf>
      <font>
        <color theme="1"/>
      </font>
      <fill>
        <patternFill>
          <bgColor rgb="FFFFCC66"/>
        </patternFill>
      </fill>
    </dxf>
    <dxf>
      <fill>
        <patternFill>
          <bgColor rgb="FF99CCFF"/>
        </patternFill>
      </fill>
    </dxf>
    <dxf>
      <fill>
        <patternFill>
          <bgColor rgb="FFFF7C80"/>
        </patternFill>
      </fill>
    </dxf>
    <dxf>
      <font>
        <color theme="1"/>
      </font>
      <fill>
        <patternFill>
          <bgColor indexed="44"/>
        </patternFill>
      </fill>
    </dxf>
    <dxf>
      <font>
        <color theme="1"/>
      </font>
      <fill>
        <patternFill>
          <bgColor indexed="42"/>
        </patternFill>
      </fill>
    </dxf>
    <dxf>
      <font>
        <color theme="1"/>
      </font>
      <fill>
        <patternFill>
          <bgColor rgb="FFFF7C80"/>
        </patternFill>
      </fill>
    </dxf>
    <dxf>
      <fill>
        <patternFill>
          <bgColor rgb="FF99CCFF"/>
        </patternFill>
      </fill>
    </dxf>
    <dxf>
      <fill>
        <patternFill>
          <bgColor rgb="FFFF7C80"/>
        </patternFill>
      </fill>
    </dxf>
    <dxf>
      <font>
        <color rgb="FFFFFF99"/>
      </font>
      <fill>
        <patternFill>
          <bgColor rgb="FFFFFF99"/>
        </patternFill>
      </fill>
    </dxf>
    <dxf>
      <font>
        <color theme="1"/>
      </font>
      <fill>
        <patternFill>
          <bgColor rgb="FFFFFF99"/>
        </patternFill>
      </fill>
    </dxf>
    <dxf>
      <font>
        <color theme="1"/>
      </font>
      <fill>
        <patternFill>
          <bgColor indexed="44"/>
        </patternFill>
      </fill>
    </dxf>
    <dxf>
      <font>
        <color theme="1"/>
      </font>
      <fill>
        <patternFill>
          <bgColor indexed="42"/>
        </patternFill>
      </fill>
    </dxf>
    <dxf>
      <font>
        <color theme="1"/>
      </font>
      <fill>
        <patternFill>
          <bgColor indexed="29"/>
        </patternFill>
      </fill>
    </dxf>
    <dxf>
      <fill>
        <patternFill>
          <bgColor rgb="FFFFCC66"/>
        </patternFill>
      </fill>
    </dxf>
    <dxf>
      <font>
        <color theme="1"/>
      </font>
      <fill>
        <patternFill>
          <bgColor rgb="FFFFFF99"/>
        </patternFill>
      </fill>
    </dxf>
    <dxf>
      <font>
        <color theme="1"/>
      </font>
      <fill>
        <patternFill>
          <bgColor rgb="FFFF7C80"/>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rgb="FFFFFF99"/>
      </font>
      <fill>
        <patternFill>
          <bgColor rgb="FFFFFF99"/>
        </patternFill>
      </fill>
    </dxf>
    <dxf>
      <font>
        <color rgb="FFFFFF99"/>
      </font>
      <fill>
        <patternFill>
          <bgColor rgb="FFFFFF99"/>
        </patternFill>
      </fill>
    </dxf>
    <dxf>
      <font>
        <color theme="1"/>
      </font>
      <fill>
        <patternFill>
          <bgColor rgb="FF99CCFF"/>
        </patternFill>
      </fill>
    </dxf>
    <dxf>
      <font>
        <color theme="1"/>
      </font>
      <fill>
        <patternFill>
          <bgColor rgb="FFCCFFCC"/>
        </patternFill>
      </fill>
    </dxf>
    <dxf>
      <font>
        <color theme="1"/>
      </font>
      <fill>
        <patternFill>
          <bgColor rgb="FFFFFF99"/>
        </patternFill>
      </fill>
    </dxf>
    <dxf>
      <font>
        <color theme="1"/>
      </font>
      <fill>
        <patternFill>
          <bgColor rgb="FFFFCC66"/>
        </patternFill>
      </fill>
    </dxf>
    <dxf>
      <font>
        <color theme="1"/>
      </font>
      <fill>
        <patternFill>
          <bgColor rgb="FFFF7C80"/>
        </patternFill>
      </fill>
    </dxf>
    <dxf>
      <font>
        <color theme="1"/>
      </font>
      <fill>
        <patternFill>
          <bgColor rgb="FFFFFF99"/>
        </patternFill>
      </fill>
    </dxf>
    <dxf>
      <fill>
        <patternFill>
          <bgColor rgb="FFCCFFCC"/>
        </patternFill>
      </fill>
    </dxf>
    <dxf>
      <fill>
        <patternFill>
          <bgColor rgb="FF99CCFF"/>
        </patternFill>
      </fill>
    </dxf>
    <dxf>
      <fill>
        <patternFill>
          <bgColor rgb="FF99CCFF"/>
        </patternFill>
      </fill>
    </dxf>
    <dxf>
      <fill>
        <patternFill>
          <bgColor rgb="FFFFCC66"/>
        </patternFill>
      </fill>
    </dxf>
    <dxf>
      <fill>
        <patternFill>
          <bgColor theme="0"/>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indexed="44"/>
        </patternFill>
      </fill>
    </dxf>
    <dxf>
      <fill>
        <patternFill>
          <bgColor indexed="42"/>
        </patternFill>
      </fill>
    </dxf>
    <dxf>
      <fill>
        <patternFill>
          <bgColor indexed="29"/>
        </patternFill>
      </fill>
    </dxf>
    <dxf>
      <font>
        <color theme="1"/>
      </font>
    </dxf>
    <dxf>
      <font>
        <condense val="0"/>
        <extend val="0"/>
        <color auto="1"/>
      </font>
      <fill>
        <patternFill>
          <bgColor indexed="44"/>
        </patternFill>
      </fill>
    </dxf>
    <dxf>
      <font>
        <condense val="0"/>
        <extend val="0"/>
        <color auto="1"/>
      </font>
      <fill>
        <patternFill>
          <bgColor indexed="26"/>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theme="1"/>
      </font>
    </dxf>
    <dxf>
      <font>
        <condense val="0"/>
        <extend val="0"/>
        <color auto="1"/>
      </font>
      <fill>
        <patternFill>
          <bgColor indexed="44"/>
        </patternFill>
      </fill>
    </dxf>
    <dxf>
      <font>
        <condense val="0"/>
        <extend val="0"/>
        <color auto="1"/>
      </font>
      <fill>
        <patternFill>
          <bgColor indexed="26"/>
        </patternFill>
      </fill>
    </dxf>
  </dxfs>
  <tableStyles count="0" defaultTableStyle="TableStyleMedium2" defaultPivotStyle="PivotStyleLight16"/>
  <colors>
    <mruColors>
      <color rgb="FF99CCFF"/>
      <color rgb="FFCCCCFF"/>
      <color rgb="FFCCECFF"/>
      <color rgb="FFFF6600"/>
      <color rgb="FFCC9900"/>
      <color rgb="FFFF9900"/>
      <color rgb="FFFFCC66"/>
      <color rgb="FFFFFF99"/>
      <color rgb="FFFF7C8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1" Type="http://schemas.openxmlformats.org/officeDocument/2006/relationships/image" Target="../media/image29.jpeg"/></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01-9BAF-4A84-A55D-1DBFB33E84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0.84615384615384615</c:v>
                </c:pt>
              </c:numCache>
            </c:numRef>
          </c:val>
          <c:extLst>
            <c:ext xmlns:c16="http://schemas.microsoft.com/office/drawing/2014/chart" uri="{C3380CC4-5D6E-409C-BE32-E72D297353CC}">
              <c16:uniqueId val="{00000002-9BAF-4A84-A55D-1DBFB33E8454}"/>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0.88461538461538458</c:v>
                </c:pt>
              </c:numCache>
            </c:numRef>
          </c:val>
          <c:extLst>
            <c:ext xmlns:c16="http://schemas.microsoft.com/office/drawing/2014/chart" uri="{C3380CC4-5D6E-409C-BE32-E72D297353CC}">
              <c16:uniqueId val="{00000003-9BAF-4A84-A55D-1DBFB33E8454}"/>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0.88461538461538458</c:v>
                </c:pt>
              </c:numCache>
            </c:numRef>
          </c:val>
          <c:extLst>
            <c:ext xmlns:c16="http://schemas.microsoft.com/office/drawing/2014/chart" uri="{C3380CC4-5D6E-409C-BE32-E72D297353CC}">
              <c16:uniqueId val="{00000004-9BAF-4A84-A55D-1DBFB33E8454}"/>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5-9BAF-4A84-A55D-1DBFB33E8454}"/>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0.30769230769230771</c:v>
                </c:pt>
              </c:numCache>
            </c:numRef>
          </c:val>
          <c:extLst>
            <c:ext xmlns:c16="http://schemas.microsoft.com/office/drawing/2014/chart" uri="{C3380CC4-5D6E-409C-BE32-E72D297353CC}">
              <c16:uniqueId val="{00000006-9BAF-4A84-A55D-1DBFB33E8454}"/>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0.38461538461538464</c:v>
                </c:pt>
              </c:numCache>
            </c:numRef>
          </c:val>
          <c:extLst>
            <c:ext xmlns:c16="http://schemas.microsoft.com/office/drawing/2014/chart" uri="{C3380CC4-5D6E-409C-BE32-E72D297353CC}">
              <c16:uniqueId val="{00000007-9BAF-4A84-A55D-1DBFB33E8454}"/>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0.42307692307692307</c:v>
                </c:pt>
              </c:numCache>
            </c:numRef>
          </c:val>
          <c:extLst>
            <c:ext xmlns:c16="http://schemas.microsoft.com/office/drawing/2014/chart" uri="{C3380CC4-5D6E-409C-BE32-E72D297353CC}">
              <c16:uniqueId val="{00000008-9BAF-4A84-A55D-1DBFB33E8454}"/>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9-9BAF-4A84-A55D-1DBFB33E8454}"/>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0.96153846153846156</c:v>
                </c:pt>
              </c:numCache>
            </c:numRef>
          </c:val>
          <c:extLst>
            <c:ext xmlns:c16="http://schemas.microsoft.com/office/drawing/2014/chart" uri="{C3380CC4-5D6E-409C-BE32-E72D297353CC}">
              <c16:uniqueId val="{0000000A-9BAF-4A84-A55D-1DBFB33E8454}"/>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0.96153846153846156</c:v>
                </c:pt>
              </c:numCache>
            </c:numRef>
          </c:val>
          <c:extLst>
            <c:ext xmlns:c16="http://schemas.microsoft.com/office/drawing/2014/chart" uri="{C3380CC4-5D6E-409C-BE32-E72D297353CC}">
              <c16:uniqueId val="{0000000B-9BAF-4A84-A55D-1DBFB33E8454}"/>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0.96153846153846156</c:v>
                </c:pt>
              </c:numCache>
            </c:numRef>
          </c:val>
          <c:extLst>
            <c:ext xmlns:c16="http://schemas.microsoft.com/office/drawing/2014/chart" uri="{C3380CC4-5D6E-409C-BE32-E72D297353CC}">
              <c16:uniqueId val="{0000000C-9BAF-4A84-A55D-1DBFB33E8454}"/>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0D-9BAF-4A84-A55D-1DBFB33E8454}"/>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0.53846153846153844</c:v>
                </c:pt>
              </c:numCache>
            </c:numRef>
          </c:val>
          <c:extLst>
            <c:ext xmlns:c16="http://schemas.microsoft.com/office/drawing/2014/chart" uri="{C3380CC4-5D6E-409C-BE32-E72D297353CC}">
              <c16:uniqueId val="{0000000E-9BAF-4A84-A55D-1DBFB33E8454}"/>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0.53846153846153844</c:v>
                </c:pt>
              </c:numCache>
            </c:numRef>
          </c:val>
          <c:extLst>
            <c:ext xmlns:c16="http://schemas.microsoft.com/office/drawing/2014/chart" uri="{C3380CC4-5D6E-409C-BE32-E72D297353CC}">
              <c16:uniqueId val="{0000000F-9BAF-4A84-A55D-1DBFB33E8454}"/>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0.65384615384615385</c:v>
                </c:pt>
              </c:numCache>
            </c:numRef>
          </c:val>
          <c:extLst>
            <c:ext xmlns:c16="http://schemas.microsoft.com/office/drawing/2014/chart" uri="{C3380CC4-5D6E-409C-BE32-E72D297353CC}">
              <c16:uniqueId val="{00000010-9BAF-4A84-A55D-1DBFB33E8454}"/>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1-9BAF-4A84-A55D-1DBFB33E8454}"/>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0.80769230769230771</c:v>
                </c:pt>
              </c:numCache>
            </c:numRef>
          </c:val>
          <c:extLst>
            <c:ext xmlns:c16="http://schemas.microsoft.com/office/drawing/2014/chart" uri="{C3380CC4-5D6E-409C-BE32-E72D297353CC}">
              <c16:uniqueId val="{00000012-9BAF-4A84-A55D-1DBFB33E8454}"/>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0.88461538461538458</c:v>
                </c:pt>
              </c:numCache>
            </c:numRef>
          </c:val>
          <c:extLst>
            <c:ext xmlns:c16="http://schemas.microsoft.com/office/drawing/2014/chart" uri="{C3380CC4-5D6E-409C-BE32-E72D297353CC}">
              <c16:uniqueId val="{00000013-9BAF-4A84-A55D-1DBFB33E8454}"/>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0.84615384615384615</c:v>
                </c:pt>
              </c:numCache>
            </c:numRef>
          </c:val>
          <c:extLst>
            <c:ext xmlns:c16="http://schemas.microsoft.com/office/drawing/2014/chart" uri="{C3380CC4-5D6E-409C-BE32-E72D297353CC}">
              <c16:uniqueId val="{00000014-9BAF-4A84-A55D-1DBFB33E8454}"/>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5-9BAF-4A84-A55D-1DBFB33E8454}"/>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0.30769230769230771</c:v>
                </c:pt>
              </c:numCache>
            </c:numRef>
          </c:val>
          <c:extLst>
            <c:ext xmlns:c16="http://schemas.microsoft.com/office/drawing/2014/chart" uri="{C3380CC4-5D6E-409C-BE32-E72D297353CC}">
              <c16:uniqueId val="{00000016-9BAF-4A84-A55D-1DBFB33E8454}"/>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0.30769230769230771</c:v>
                </c:pt>
              </c:numCache>
            </c:numRef>
          </c:val>
          <c:extLst>
            <c:ext xmlns:c16="http://schemas.microsoft.com/office/drawing/2014/chart" uri="{C3380CC4-5D6E-409C-BE32-E72D297353CC}">
              <c16:uniqueId val="{00000017-9BAF-4A84-A55D-1DBFB33E8454}"/>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0.34615384615384615</c:v>
                </c:pt>
              </c:numCache>
            </c:numRef>
          </c:val>
          <c:extLst>
            <c:ext xmlns:c16="http://schemas.microsoft.com/office/drawing/2014/chart" uri="{C3380CC4-5D6E-409C-BE32-E72D297353CC}">
              <c16:uniqueId val="{00000018-9BAF-4A84-A55D-1DBFB33E8454}"/>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9-9BAF-4A84-A55D-1DBFB33E8454}"/>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1A-9BAF-4A84-A55D-1DBFB33E8454}"/>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0.96499999999999997</c:v>
                </c:pt>
              </c:numCache>
            </c:numRef>
          </c:val>
          <c:extLst>
            <c:ext xmlns:c16="http://schemas.microsoft.com/office/drawing/2014/chart" uri="{C3380CC4-5D6E-409C-BE32-E72D297353CC}">
              <c16:uniqueId val="{0000001B-9BAF-4A84-A55D-1DBFB33E8454}"/>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0.50600000000000001</c:v>
                </c:pt>
              </c:numCache>
            </c:numRef>
          </c:val>
          <c:extLst>
            <c:ext xmlns:c16="http://schemas.microsoft.com/office/drawing/2014/chart" uri="{C3380CC4-5D6E-409C-BE32-E72D297353CC}">
              <c16:uniqueId val="{0000001C-9BAF-4A84-A55D-1DBFB33E8454}"/>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0.62</c:v>
                </c:pt>
              </c:numCache>
            </c:numRef>
          </c:val>
          <c:extLst>
            <c:ext xmlns:c16="http://schemas.microsoft.com/office/drawing/2014/chart" uri="{C3380CC4-5D6E-409C-BE32-E72D297353CC}">
              <c16:uniqueId val="{0000001D-9BAF-4A84-A55D-1DBFB33E8454}"/>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69-464C-9FCA-1103421E371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69-464C-9FCA-1103421E371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69-464C-9FCA-1103421E371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69-464C-9FCA-1103421E371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769-464C-9FCA-1103421E371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63724271308191"/>
          <c:y val="0.12202380952380952"/>
          <c:w val="0.58479532163742687"/>
          <c:h val="0.74404761904761907"/>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3D14-497B-8D1D-E8F51B71CFB5}"/>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3D14-497B-8D1D-E8F51B71CFB5}"/>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3D14-497B-8D1D-E8F51B71CFB5}"/>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3D14-497B-8D1D-E8F51B71CFB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D14-497B-8D1D-E8F51B71CF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2BBA-40EC-9A42-AB9CAA7AB5B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2BBA-40EC-9A42-AB9CAA7AB5B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2BBA-40EC-9A42-AB9CAA7AB5B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2BBA-40EC-9A42-AB9CAA7AB5B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2BBA-40EC-9A42-AB9CAA7AB5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EE4-4EC9-B6A7-3FF52984E9F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EE4-4EC9-B6A7-3FF52984E9F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EE4-4EC9-B6A7-3FF52984E9F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CEE4-4EC9-B6A7-3FF52984E9F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EE4-4EC9-B6A7-3FF52984E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985-4FD3-B95A-D8435D2788BD}"/>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985-4FD3-B95A-D8435D2788BD}"/>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985-4FD3-B95A-D8435D2788BD}"/>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985-4FD3-B95A-D8435D2788BD}"/>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985-4FD3-B95A-D8435D2788BD}"/>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985-4FD3-B95A-D8435D2788BD}"/>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985-4FD3-B95A-D8435D2788BD}"/>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985-4FD3-B95A-D8435D2788BD}"/>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985-4FD3-B95A-D8435D2788BD}"/>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985-4FD3-B95A-D8435D2788BD}"/>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985-4FD3-B95A-D8435D2788BD}"/>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985-4FD3-B95A-D8435D2788BD}"/>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985-4FD3-B95A-D8435D2788BD}"/>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985-4FD3-B95A-D8435D2788BD}"/>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985-4FD3-B95A-D8435D2788BD}"/>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D985-4FD3-B95A-D8435D2788BD}"/>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D985-4FD3-B95A-D8435D2788BD}"/>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D985-4FD3-B95A-D8435D2788BD}"/>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D985-4FD3-B95A-D8435D2788BD}"/>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D985-4FD3-B95A-D8435D2788BD}"/>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D985-4FD3-B95A-D8435D2788BD}"/>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D985-4FD3-B95A-D8435D2788BD}"/>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D985-4FD3-B95A-D8435D2788BD}"/>
            </c:ext>
          </c:extLst>
        </c:ser>
        <c:dLbls>
          <c:showLegendKey val="0"/>
          <c:showVal val="0"/>
          <c:showCatName val="0"/>
          <c:showSerName val="0"/>
          <c:showPercent val="0"/>
          <c:showBubbleSize val="0"/>
        </c:dLbls>
        <c:gapWidth val="0"/>
        <c:overlap val="100"/>
        <c:axId val="577015960"/>
        <c:axId val="577024976"/>
      </c:barChart>
      <c:catAx>
        <c:axId val="5770159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577024976"/>
        <c:crosses val="autoZero"/>
        <c:auto val="1"/>
        <c:lblAlgn val="ctr"/>
        <c:lblOffset val="100"/>
        <c:tickMarkSkip val="1"/>
        <c:noMultiLvlLbl val="0"/>
      </c:catAx>
      <c:valAx>
        <c:axId val="577024976"/>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577015960"/>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08B-4D08-B82B-5C8A07DD24A6}"/>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08B-4D08-B82B-5C8A07DD24A6}"/>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08B-4D08-B82B-5C8A07DD24A6}"/>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08B-4D08-B82B-5C8A07DD24A6}"/>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08B-4D08-B82B-5C8A07DD24A6}"/>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08B-4D08-B82B-5C8A07DD24A6}"/>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08B-4D08-B82B-5C8A07DD24A6}"/>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08B-4D08-B82B-5C8A07DD24A6}"/>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08B-4D08-B82B-5C8A07DD24A6}"/>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08B-4D08-B82B-5C8A07DD24A6}"/>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08B-4D08-B82B-5C8A07DD24A6}"/>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08B-4D08-B82B-5C8A07DD24A6}"/>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08B-4D08-B82B-5C8A07DD24A6}"/>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08B-4D08-B82B-5C8A07DD24A6}"/>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08B-4D08-B82B-5C8A07DD24A6}"/>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A08B-4D08-B82B-5C8A07DD24A6}"/>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A08B-4D08-B82B-5C8A07DD24A6}"/>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A08B-4D08-B82B-5C8A07DD24A6}"/>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A08B-4D08-B82B-5C8A07DD24A6}"/>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A08B-4D08-B82B-5C8A07DD24A6}"/>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A08B-4D08-B82B-5C8A07DD24A6}"/>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A08B-4D08-B82B-5C8A07DD24A6}"/>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A08B-4D08-B82B-5C8A07DD24A6}"/>
            </c:ext>
          </c:extLst>
        </c:ser>
        <c:dLbls>
          <c:showLegendKey val="0"/>
          <c:showVal val="0"/>
          <c:showCatName val="0"/>
          <c:showSerName val="0"/>
          <c:showPercent val="0"/>
          <c:showBubbleSize val="0"/>
        </c:dLbls>
        <c:gapWidth val="0"/>
        <c:overlap val="100"/>
        <c:axId val="577024192"/>
        <c:axId val="577014784"/>
      </c:barChart>
      <c:catAx>
        <c:axId val="5770241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577014784"/>
        <c:crosses val="autoZero"/>
        <c:auto val="1"/>
        <c:lblAlgn val="ctr"/>
        <c:lblOffset val="100"/>
        <c:tickMarkSkip val="1"/>
        <c:noMultiLvlLbl val="0"/>
      </c:catAx>
      <c:valAx>
        <c:axId val="577014784"/>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57702419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11B-4B05-98C3-6D8EB992E72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11B-4B05-98C3-6D8EB992E72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11B-4B05-98C3-6D8EB992E72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11B-4B05-98C3-6D8EB992E72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11B-4B05-98C3-6D8EB992E72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11B-4B05-98C3-6D8EB992E72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11B-4B05-98C3-6D8EB992E72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11B-4B05-98C3-6D8EB992E72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11B-4B05-98C3-6D8EB992E72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11B-4B05-98C3-6D8EB992E72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11B-4B05-98C3-6D8EB992E72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11B-4B05-98C3-6D8EB992E72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11B-4B05-98C3-6D8EB992E72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11B-4B05-98C3-6D8EB992E72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11B-4B05-98C3-6D8EB992E72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A11B-4B05-98C3-6D8EB992E72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A11B-4B05-98C3-6D8EB992E72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A11B-4B05-98C3-6D8EB992E72B}"/>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A11B-4B05-98C3-6D8EB992E72B}"/>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A11B-4B05-98C3-6D8EB992E72B}"/>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A11B-4B05-98C3-6D8EB992E72B}"/>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A11B-4B05-98C3-6D8EB992E72B}"/>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A11B-4B05-98C3-6D8EB992E72B}"/>
            </c:ext>
          </c:extLst>
        </c:ser>
        <c:dLbls>
          <c:showLegendKey val="0"/>
          <c:showVal val="0"/>
          <c:showCatName val="0"/>
          <c:showSerName val="0"/>
          <c:showPercent val="0"/>
          <c:showBubbleSize val="0"/>
        </c:dLbls>
        <c:gapWidth val="0"/>
        <c:overlap val="100"/>
        <c:axId val="577016352"/>
        <c:axId val="577016744"/>
      </c:barChart>
      <c:catAx>
        <c:axId val="5770163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577016744"/>
        <c:crosses val="autoZero"/>
        <c:auto val="1"/>
        <c:lblAlgn val="ctr"/>
        <c:lblOffset val="100"/>
        <c:tickMarkSkip val="1"/>
        <c:noMultiLvlLbl val="0"/>
      </c:catAx>
      <c:valAx>
        <c:axId val="577016744"/>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57701635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11B-4B05-98C3-6D8EB992E72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11B-4B05-98C3-6D8EB992E72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11B-4B05-98C3-6D8EB992E72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11B-4B05-98C3-6D8EB992E72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11B-4B05-98C3-6D8EB992E72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11B-4B05-98C3-6D8EB992E72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11B-4B05-98C3-6D8EB992E72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11B-4B05-98C3-6D8EB992E72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11B-4B05-98C3-6D8EB992E72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11B-4B05-98C3-6D8EB992E72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11B-4B05-98C3-6D8EB992E72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11B-4B05-98C3-6D8EB992E72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11B-4B05-98C3-6D8EB992E72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11B-4B05-98C3-6D8EB992E72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11B-4B05-98C3-6D8EB992E72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A11B-4B05-98C3-6D8EB992E72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A11B-4B05-98C3-6D8EB992E72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A11B-4B05-98C3-6D8EB992E72B}"/>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A11B-4B05-98C3-6D8EB992E72B}"/>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A11B-4B05-98C3-6D8EB992E72B}"/>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A11B-4B05-98C3-6D8EB992E72B}"/>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A11B-4B05-98C3-6D8EB992E72B}"/>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A11B-4B05-98C3-6D8EB992E72B}"/>
            </c:ext>
          </c:extLst>
        </c:ser>
        <c:dLbls>
          <c:showLegendKey val="0"/>
          <c:showVal val="0"/>
          <c:showCatName val="0"/>
          <c:showSerName val="0"/>
          <c:showPercent val="0"/>
          <c:showBubbleSize val="0"/>
        </c:dLbls>
        <c:gapWidth val="0"/>
        <c:overlap val="100"/>
        <c:axId val="577017136"/>
        <c:axId val="577017528"/>
      </c:barChart>
      <c:catAx>
        <c:axId val="5770171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577017528"/>
        <c:crosses val="autoZero"/>
        <c:auto val="1"/>
        <c:lblAlgn val="ctr"/>
        <c:lblOffset val="100"/>
        <c:tickMarkSkip val="1"/>
        <c:noMultiLvlLbl val="0"/>
      </c:catAx>
      <c:valAx>
        <c:axId val="577017528"/>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577017136"/>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0.6923076923076924</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577026936"/>
        <c:axId val="577028896"/>
      </c:barChart>
      <c:valAx>
        <c:axId val="577028896"/>
        <c:scaling>
          <c:orientation val="minMax"/>
          <c:max val="1"/>
        </c:scaling>
        <c:delete val="1"/>
        <c:axPos val="t"/>
        <c:numFmt formatCode="0%" sourceLinked="1"/>
        <c:majorTickMark val="out"/>
        <c:minorTickMark val="none"/>
        <c:tickLblPos val="nextTo"/>
        <c:crossAx val="577026936"/>
        <c:crosses val="max"/>
        <c:crossBetween val="between"/>
      </c:valAx>
      <c:catAx>
        <c:axId val="577026936"/>
        <c:scaling>
          <c:orientation val="minMax"/>
        </c:scaling>
        <c:delete val="1"/>
        <c:axPos val="l"/>
        <c:majorTickMark val="out"/>
        <c:minorTickMark val="none"/>
        <c:tickLblPos val="nextTo"/>
        <c:crossAx val="577028896"/>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2.2000000000000002</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5.8</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8.4</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2.6</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4.2</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566103280"/>
        <c:axId val="566107984"/>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4.6399999999999997</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566109160"/>
        <c:axId val="566099360"/>
      </c:barChart>
      <c:catAx>
        <c:axId val="566103280"/>
        <c:scaling>
          <c:orientation val="maxMin"/>
        </c:scaling>
        <c:delete val="1"/>
        <c:axPos val="l"/>
        <c:numFmt formatCode="General" sourceLinked="1"/>
        <c:majorTickMark val="none"/>
        <c:minorTickMark val="none"/>
        <c:tickLblPos val="nextTo"/>
        <c:crossAx val="566107984"/>
        <c:crosses val="autoZero"/>
        <c:auto val="1"/>
        <c:lblAlgn val="ctr"/>
        <c:lblOffset val="100"/>
        <c:noMultiLvlLbl val="0"/>
      </c:catAx>
      <c:valAx>
        <c:axId val="56610798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66103280"/>
        <c:crosses val="autoZero"/>
        <c:crossBetween val="between"/>
      </c:valAx>
      <c:valAx>
        <c:axId val="566099360"/>
        <c:scaling>
          <c:orientation val="minMax"/>
        </c:scaling>
        <c:delete val="1"/>
        <c:axPos val="b"/>
        <c:numFmt formatCode="0.0" sourceLinked="1"/>
        <c:majorTickMark val="out"/>
        <c:minorTickMark val="none"/>
        <c:tickLblPos val="nextTo"/>
        <c:crossAx val="566109160"/>
        <c:crosses val="autoZero"/>
        <c:crossBetween val="between"/>
      </c:valAx>
      <c:catAx>
        <c:axId val="566109160"/>
        <c:scaling>
          <c:orientation val="minMax"/>
        </c:scaling>
        <c:delete val="1"/>
        <c:axPos val="l"/>
        <c:majorTickMark val="out"/>
        <c:minorTickMark val="none"/>
        <c:tickLblPos val="nextTo"/>
        <c:crossAx val="566099360"/>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577026152"/>
        <c:axId val="577026544"/>
      </c:barChart>
      <c:catAx>
        <c:axId val="5770261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577026544"/>
        <c:crosses val="autoZero"/>
        <c:auto val="1"/>
        <c:lblAlgn val="ctr"/>
        <c:lblOffset val="100"/>
        <c:tickMarkSkip val="1"/>
        <c:noMultiLvlLbl val="0"/>
      </c:catAx>
      <c:valAx>
        <c:axId val="577026544"/>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57702615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0.65384615384615385</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666119688"/>
        <c:axId val="666116160"/>
      </c:barChart>
      <c:valAx>
        <c:axId val="666116160"/>
        <c:scaling>
          <c:orientation val="minMax"/>
          <c:max val="1"/>
        </c:scaling>
        <c:delete val="1"/>
        <c:axPos val="t"/>
        <c:numFmt formatCode="0%" sourceLinked="1"/>
        <c:majorTickMark val="out"/>
        <c:minorTickMark val="none"/>
        <c:tickLblPos val="nextTo"/>
        <c:crossAx val="666119688"/>
        <c:crosses val="max"/>
        <c:crossBetween val="between"/>
      </c:valAx>
      <c:catAx>
        <c:axId val="666119688"/>
        <c:scaling>
          <c:orientation val="minMax"/>
        </c:scaling>
        <c:delete val="1"/>
        <c:axPos val="l"/>
        <c:majorTickMark val="out"/>
        <c:minorTickMark val="none"/>
        <c:tickLblPos val="nextTo"/>
        <c:crossAx val="666116160"/>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666122824"/>
        <c:axId val="666125960"/>
      </c:barChart>
      <c:catAx>
        <c:axId val="6661228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666125960"/>
        <c:crosses val="autoZero"/>
        <c:auto val="1"/>
        <c:lblAlgn val="ctr"/>
        <c:lblOffset val="100"/>
        <c:tickMarkSkip val="1"/>
        <c:noMultiLvlLbl val="0"/>
      </c:catAx>
      <c:valAx>
        <c:axId val="666125960"/>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666122824"/>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0.69230769230769229</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666123608"/>
        <c:axId val="666120864"/>
      </c:barChart>
      <c:valAx>
        <c:axId val="666120864"/>
        <c:scaling>
          <c:orientation val="minMax"/>
          <c:max val="1"/>
        </c:scaling>
        <c:delete val="1"/>
        <c:axPos val="t"/>
        <c:numFmt formatCode="0%" sourceLinked="1"/>
        <c:majorTickMark val="out"/>
        <c:minorTickMark val="none"/>
        <c:tickLblPos val="nextTo"/>
        <c:crossAx val="666123608"/>
        <c:crosses val="max"/>
        <c:crossBetween val="between"/>
      </c:valAx>
      <c:catAx>
        <c:axId val="666123608"/>
        <c:scaling>
          <c:orientation val="minMax"/>
        </c:scaling>
        <c:delete val="1"/>
        <c:axPos val="l"/>
        <c:majorTickMark val="out"/>
        <c:minorTickMark val="none"/>
        <c:tickLblPos val="nextTo"/>
        <c:crossAx val="66612086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666127528"/>
        <c:axId val="666118904"/>
      </c:barChart>
      <c:catAx>
        <c:axId val="6661275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666118904"/>
        <c:crosses val="autoZero"/>
        <c:auto val="1"/>
        <c:lblAlgn val="ctr"/>
        <c:lblOffset val="100"/>
        <c:tickMarkSkip val="1"/>
        <c:noMultiLvlLbl val="0"/>
      </c:catAx>
      <c:valAx>
        <c:axId val="666118904"/>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666127528"/>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0.76923076923076916</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666118512"/>
        <c:axId val="666116944"/>
      </c:barChart>
      <c:valAx>
        <c:axId val="666116944"/>
        <c:scaling>
          <c:orientation val="minMax"/>
          <c:max val="1"/>
        </c:scaling>
        <c:delete val="1"/>
        <c:axPos val="t"/>
        <c:numFmt formatCode="0%" sourceLinked="1"/>
        <c:majorTickMark val="out"/>
        <c:minorTickMark val="none"/>
        <c:tickLblPos val="nextTo"/>
        <c:crossAx val="666118512"/>
        <c:crosses val="max"/>
        <c:crossBetween val="between"/>
      </c:valAx>
      <c:catAx>
        <c:axId val="666118512"/>
        <c:scaling>
          <c:orientation val="minMax"/>
        </c:scaling>
        <c:delete val="1"/>
        <c:axPos val="l"/>
        <c:majorTickMark val="out"/>
        <c:minorTickMark val="none"/>
        <c:tickLblPos val="nextTo"/>
        <c:crossAx val="66611694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666120472"/>
        <c:axId val="666128704"/>
      </c:barChart>
      <c:catAx>
        <c:axId val="666120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666128704"/>
        <c:crosses val="autoZero"/>
        <c:auto val="1"/>
        <c:lblAlgn val="ctr"/>
        <c:lblOffset val="100"/>
        <c:tickMarkSkip val="1"/>
        <c:noMultiLvlLbl val="0"/>
      </c:catAx>
      <c:valAx>
        <c:axId val="666128704"/>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666120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5.8</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7.2</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8</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7.4</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9.6</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8</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8.1999999999999993</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9.8000000000000007</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8.6</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9</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566108376"/>
        <c:axId val="56610014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8.16</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566104456"/>
        <c:axId val="566109552"/>
      </c:barChart>
      <c:catAx>
        <c:axId val="566108376"/>
        <c:scaling>
          <c:orientation val="maxMin"/>
        </c:scaling>
        <c:delete val="1"/>
        <c:axPos val="l"/>
        <c:numFmt formatCode="General" sourceLinked="1"/>
        <c:majorTickMark val="none"/>
        <c:minorTickMark val="none"/>
        <c:tickLblPos val="nextTo"/>
        <c:crossAx val="566100144"/>
        <c:crosses val="autoZero"/>
        <c:auto val="1"/>
        <c:lblAlgn val="ctr"/>
        <c:lblOffset val="100"/>
        <c:noMultiLvlLbl val="0"/>
      </c:catAx>
      <c:valAx>
        <c:axId val="56610014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66108376"/>
        <c:crosses val="autoZero"/>
        <c:crossBetween val="between"/>
      </c:valAx>
      <c:valAx>
        <c:axId val="566109552"/>
        <c:scaling>
          <c:orientation val="minMax"/>
        </c:scaling>
        <c:delete val="1"/>
        <c:axPos val="b"/>
        <c:numFmt formatCode="0.0" sourceLinked="1"/>
        <c:majorTickMark val="out"/>
        <c:minorTickMark val="none"/>
        <c:tickLblPos val="nextTo"/>
        <c:crossAx val="566104456"/>
        <c:crosses val="autoZero"/>
        <c:crossBetween val="between"/>
      </c:valAx>
      <c:catAx>
        <c:axId val="566104456"/>
        <c:scaling>
          <c:orientation val="minMax"/>
        </c:scaling>
        <c:delete val="1"/>
        <c:axPos val="l"/>
        <c:majorTickMark val="out"/>
        <c:minorTickMark val="none"/>
        <c:tickLblPos val="nextTo"/>
        <c:crossAx val="566109552"/>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0.80769230769230771</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666131056"/>
        <c:axId val="666131840"/>
      </c:barChart>
      <c:valAx>
        <c:axId val="666131840"/>
        <c:scaling>
          <c:orientation val="minMax"/>
          <c:max val="1"/>
        </c:scaling>
        <c:delete val="1"/>
        <c:axPos val="t"/>
        <c:numFmt formatCode="0%" sourceLinked="1"/>
        <c:majorTickMark val="out"/>
        <c:minorTickMark val="none"/>
        <c:tickLblPos val="nextTo"/>
        <c:crossAx val="666131056"/>
        <c:crosses val="max"/>
        <c:crossBetween val="between"/>
      </c:valAx>
      <c:catAx>
        <c:axId val="666131056"/>
        <c:scaling>
          <c:orientation val="minMax"/>
        </c:scaling>
        <c:delete val="1"/>
        <c:axPos val="l"/>
        <c:majorTickMark val="out"/>
        <c:minorTickMark val="none"/>
        <c:tickLblPos val="nextTo"/>
        <c:crossAx val="666131840"/>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666130664"/>
        <c:axId val="666129880"/>
      </c:barChart>
      <c:catAx>
        <c:axId val="666130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666129880"/>
        <c:crosses val="autoZero"/>
        <c:auto val="1"/>
        <c:lblAlgn val="ctr"/>
        <c:lblOffset val="100"/>
        <c:tickMarkSkip val="1"/>
        <c:noMultiLvlLbl val="0"/>
      </c:catAx>
      <c:valAx>
        <c:axId val="666129880"/>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666130664"/>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0.76</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666634480"/>
        <c:axId val="666632912"/>
      </c:barChart>
      <c:valAx>
        <c:axId val="666632912"/>
        <c:scaling>
          <c:orientation val="minMax"/>
          <c:max val="1"/>
        </c:scaling>
        <c:delete val="1"/>
        <c:axPos val="t"/>
        <c:numFmt formatCode="0%" sourceLinked="1"/>
        <c:majorTickMark val="out"/>
        <c:minorTickMark val="none"/>
        <c:tickLblPos val="nextTo"/>
        <c:crossAx val="666634480"/>
        <c:crosses val="max"/>
        <c:crossBetween val="between"/>
      </c:valAx>
      <c:catAx>
        <c:axId val="666634480"/>
        <c:scaling>
          <c:orientation val="minMax"/>
        </c:scaling>
        <c:delete val="1"/>
        <c:axPos val="l"/>
        <c:majorTickMark val="out"/>
        <c:minorTickMark val="none"/>
        <c:tickLblPos val="nextTo"/>
        <c:crossAx val="66663291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E2B-4E3D-B318-71A23670339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E2B-4E3D-B318-71A23670339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E2B-4E3D-B318-71A23670339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E2B-4E3D-B318-71A23670339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E2B-4E3D-B318-71A23670339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E2B-4E3D-B318-71A23670339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E2B-4E3D-B318-71A23670339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E2B-4E3D-B318-71A23670339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E2B-4E3D-B318-71A23670339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E2B-4E3D-B318-71A23670339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E2B-4E3D-B318-71A23670339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E2B-4E3D-B318-71A23670339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E2B-4E3D-B318-71A23670339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E2B-4E3D-B318-71A23670339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E2B-4E3D-B318-71A23670339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F-9E2B-4E3D-B318-71A23670339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1-9E2B-4E3D-B318-71A23670339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23-9E2B-4E3D-B318-71A236703390}"/>
              </c:ext>
            </c:extLst>
          </c:dPt>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24-9E2B-4E3D-B318-71A236703390}"/>
            </c:ext>
          </c:extLst>
        </c:ser>
        <c:ser>
          <c:idx val="4"/>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25-9E2B-4E3D-B318-71A236703390}"/>
            </c:ext>
          </c:extLst>
        </c:ser>
        <c:ser>
          <c:idx val="0"/>
          <c:order val="2"/>
          <c:spPr>
            <a:solidFill>
              <a:srgbClr val="FFFFFF"/>
            </a:solidFill>
            <a:ln w="12700">
              <a:solidFill>
                <a:srgbClr val="000000"/>
              </a:solidFill>
              <a:prstDash val="solid"/>
            </a:ln>
          </c:spPr>
          <c:invertIfNegative val="0"/>
          <c:dLbls>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26-9E2B-4E3D-B318-71A236703390}"/>
            </c:ext>
          </c:extLst>
        </c:ser>
        <c:ser>
          <c:idx val="2"/>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7-9E2B-4E3D-B318-71A236703390}"/>
            </c:ext>
          </c:extLst>
        </c:ser>
        <c:ser>
          <c:idx val="3"/>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8-9E2B-4E3D-B318-71A236703390}"/>
            </c:ext>
          </c:extLst>
        </c:ser>
        <c:dLbls>
          <c:showLegendKey val="0"/>
          <c:showVal val="0"/>
          <c:showCatName val="0"/>
          <c:showSerName val="0"/>
          <c:showPercent val="0"/>
          <c:showBubbleSize val="0"/>
        </c:dLbls>
        <c:gapWidth val="0"/>
        <c:overlap val="100"/>
        <c:axId val="666636440"/>
        <c:axId val="666639576"/>
      </c:barChart>
      <c:catAx>
        <c:axId val="6666364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000" b="0" i="0" u="none" strike="noStrike" baseline="0">
                <a:solidFill>
                  <a:srgbClr val="000000"/>
                </a:solidFill>
                <a:latin typeface="Arial"/>
                <a:ea typeface="Arial"/>
                <a:cs typeface="Arial"/>
              </a:defRPr>
            </a:pPr>
            <a:endParaRPr lang="nl-NL"/>
          </a:p>
        </c:txPr>
        <c:crossAx val="666639576"/>
        <c:crosses val="autoZero"/>
        <c:auto val="1"/>
        <c:lblAlgn val="ctr"/>
        <c:lblOffset val="100"/>
        <c:tickMarkSkip val="1"/>
        <c:noMultiLvlLbl val="0"/>
      </c:catAx>
      <c:valAx>
        <c:axId val="666639576"/>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nl-NL"/>
          </a:p>
        </c:txPr>
        <c:crossAx val="666636440"/>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1.0416666666666667</c:v>
                </c:pt>
              </c:numCache>
            </c:numRef>
          </c:val>
          <c:extLst>
            <c:ext xmlns:c16="http://schemas.microsoft.com/office/drawing/2014/chart" uri="{C3380CC4-5D6E-409C-BE32-E72D297353CC}">
              <c16:uniqueId val="{00000000-C465-4EF3-A661-F42ABEEC754C}"/>
            </c:ext>
          </c:extLst>
        </c:ser>
        <c:dLbls>
          <c:showLegendKey val="0"/>
          <c:showVal val="0"/>
          <c:showCatName val="0"/>
          <c:showSerName val="0"/>
          <c:showPercent val="0"/>
          <c:showBubbleSize val="0"/>
        </c:dLbls>
        <c:gapWidth val="20"/>
        <c:axId val="666630560"/>
        <c:axId val="666635264"/>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C465-4EF3-A661-F42ABEEC754C}"/>
            </c:ext>
          </c:extLst>
        </c:ser>
        <c:dLbls>
          <c:showLegendKey val="0"/>
          <c:showVal val="0"/>
          <c:showCatName val="0"/>
          <c:showSerName val="0"/>
          <c:showPercent val="0"/>
          <c:showBubbleSize val="0"/>
        </c:dLbls>
        <c:gapWidth val="20"/>
        <c:axId val="666641928"/>
        <c:axId val="666637616"/>
      </c:barChart>
      <c:catAx>
        <c:axId val="666630560"/>
        <c:scaling>
          <c:orientation val="minMax"/>
        </c:scaling>
        <c:delete val="1"/>
        <c:axPos val="b"/>
        <c:majorTickMark val="out"/>
        <c:minorTickMark val="none"/>
        <c:tickLblPos val="none"/>
        <c:crossAx val="666635264"/>
        <c:crosses val="autoZero"/>
        <c:auto val="1"/>
        <c:lblAlgn val="ctr"/>
        <c:lblOffset val="100"/>
        <c:noMultiLvlLbl val="0"/>
      </c:catAx>
      <c:valAx>
        <c:axId val="666635264"/>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666630560"/>
        <c:crosses val="autoZero"/>
        <c:crossBetween val="between"/>
      </c:valAx>
      <c:catAx>
        <c:axId val="666641928"/>
        <c:scaling>
          <c:orientation val="minMax"/>
        </c:scaling>
        <c:delete val="1"/>
        <c:axPos val="b"/>
        <c:majorTickMark val="out"/>
        <c:minorTickMark val="none"/>
        <c:tickLblPos val="none"/>
        <c:crossAx val="666637616"/>
        <c:crosses val="autoZero"/>
        <c:auto val="1"/>
        <c:lblAlgn val="ctr"/>
        <c:lblOffset val="100"/>
        <c:noMultiLvlLbl val="0"/>
      </c:catAx>
      <c:valAx>
        <c:axId val="666637616"/>
        <c:scaling>
          <c:orientation val="minMax"/>
        </c:scaling>
        <c:delete val="1"/>
        <c:axPos val="r"/>
        <c:numFmt formatCode="General" sourceLinked="1"/>
        <c:majorTickMark val="out"/>
        <c:minorTickMark val="none"/>
        <c:tickLblPos val="none"/>
        <c:crossAx val="6666419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7.2</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6.4</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6.4</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8</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4</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7.6</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6.4</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4.5999999999999996</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5.4</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6.2</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7.2</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7</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6</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566111512"/>
        <c:axId val="566099752"/>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6.338461538461539</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566105240"/>
        <c:axId val="566107200"/>
      </c:barChart>
      <c:catAx>
        <c:axId val="566111512"/>
        <c:scaling>
          <c:orientation val="maxMin"/>
        </c:scaling>
        <c:delete val="1"/>
        <c:axPos val="l"/>
        <c:numFmt formatCode="General" sourceLinked="1"/>
        <c:majorTickMark val="none"/>
        <c:minorTickMark val="none"/>
        <c:tickLblPos val="nextTo"/>
        <c:crossAx val="566099752"/>
        <c:crosses val="autoZero"/>
        <c:auto val="1"/>
        <c:lblAlgn val="ctr"/>
        <c:lblOffset val="100"/>
        <c:noMultiLvlLbl val="0"/>
      </c:catAx>
      <c:valAx>
        <c:axId val="566099752"/>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66111512"/>
        <c:crosses val="autoZero"/>
        <c:crossBetween val="between"/>
      </c:valAx>
      <c:valAx>
        <c:axId val="566107200"/>
        <c:scaling>
          <c:orientation val="minMax"/>
        </c:scaling>
        <c:delete val="1"/>
        <c:axPos val="b"/>
        <c:numFmt formatCode="0.0" sourceLinked="1"/>
        <c:majorTickMark val="out"/>
        <c:minorTickMark val="none"/>
        <c:tickLblPos val="nextTo"/>
        <c:crossAx val="566105240"/>
        <c:crosses val="autoZero"/>
        <c:crossBetween val="between"/>
      </c:valAx>
      <c:catAx>
        <c:axId val="566105240"/>
        <c:scaling>
          <c:orientation val="minMax"/>
        </c:scaling>
        <c:delete val="1"/>
        <c:axPos val="l"/>
        <c:majorTickMark val="out"/>
        <c:minorTickMark val="none"/>
        <c:tickLblPos val="nextTo"/>
        <c:crossAx val="56610720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C732-4B58-AA89-3753D37B14CA}"/>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C732-4B58-AA89-3753D37B14CA}"/>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C732-4B58-AA89-3753D37B14CA}"/>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C732-4B58-AA89-3753D37B14CA}"/>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C732-4B58-AA89-3753D37B14CA}"/>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C732-4B58-AA89-3753D37B14CA}"/>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C732-4B58-AA89-3753D37B14CA}"/>
            </c:ext>
          </c:extLst>
        </c:ser>
        <c:dLbls>
          <c:showLegendKey val="0"/>
          <c:showVal val="0"/>
          <c:showCatName val="0"/>
          <c:showSerName val="1"/>
          <c:showPercent val="0"/>
          <c:showBubbleSize val="0"/>
        </c:dLbls>
        <c:gapWidth val="0"/>
        <c:overlap val="100"/>
        <c:axId val="566101320"/>
        <c:axId val="566110336"/>
      </c:barChart>
      <c:catAx>
        <c:axId val="566101320"/>
        <c:scaling>
          <c:orientation val="minMax"/>
        </c:scaling>
        <c:delete val="1"/>
        <c:axPos val="b"/>
        <c:majorTickMark val="out"/>
        <c:minorTickMark val="none"/>
        <c:tickLblPos val="none"/>
        <c:crossAx val="566110336"/>
        <c:crosses val="autoZero"/>
        <c:auto val="1"/>
        <c:lblAlgn val="ctr"/>
        <c:lblOffset val="100"/>
        <c:noMultiLvlLbl val="0"/>
      </c:catAx>
      <c:valAx>
        <c:axId val="566110336"/>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566101320"/>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1.8</c:v>
                </c:pt>
              </c:numCache>
            </c:numRef>
          </c:val>
          <c:extLst>
            <c:ext xmlns:c16="http://schemas.microsoft.com/office/drawing/2014/chart" uri="{C3380CC4-5D6E-409C-BE32-E72D297353CC}">
              <c16:uniqueId val="{00000000-4F9E-4DAC-BF44-FA2537FC4605}"/>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2.2999999999999998</c:v>
                </c:pt>
              </c:numCache>
            </c:numRef>
          </c:val>
          <c:extLst>
            <c:ext xmlns:c16="http://schemas.microsoft.com/office/drawing/2014/chart" uri="{C3380CC4-5D6E-409C-BE32-E72D297353CC}">
              <c16:uniqueId val="{00000001-4F9E-4DAC-BF44-FA2537FC4605}"/>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3.4</c:v>
                </c:pt>
              </c:numCache>
            </c:numRef>
          </c:val>
          <c:extLst>
            <c:ext xmlns:c16="http://schemas.microsoft.com/office/drawing/2014/chart" uri="{C3380CC4-5D6E-409C-BE32-E72D297353CC}">
              <c16:uniqueId val="{00000004-4F9E-4DAC-BF44-FA2537FC4605}"/>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4.5</c:v>
                </c:pt>
              </c:numCache>
            </c:numRef>
          </c:val>
          <c:extLst>
            <c:ext xmlns:c16="http://schemas.microsoft.com/office/drawing/2014/chart" uri="{C3380CC4-5D6E-409C-BE32-E72D297353CC}">
              <c16:uniqueId val="{00000006-4F9E-4DAC-BF44-FA2537FC4605}"/>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4.4000000000000004</c:v>
                </c:pt>
              </c:numCache>
            </c:numRef>
          </c:val>
          <c:extLst>
            <c:ext xmlns:c16="http://schemas.microsoft.com/office/drawing/2014/chart" uri="{C3380CC4-5D6E-409C-BE32-E72D297353CC}">
              <c16:uniqueId val="{00000008-4F9E-4DAC-BF44-FA2537FC4605}"/>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4.2</c:v>
                </c:pt>
              </c:numCache>
            </c:numRef>
          </c:val>
          <c:extLst>
            <c:ext xmlns:c16="http://schemas.microsoft.com/office/drawing/2014/chart" uri="{C3380CC4-5D6E-409C-BE32-E72D297353CC}">
              <c16:uniqueId val="{00000009-4F9E-4DAC-BF44-FA2537FC4605}"/>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3.6</c:v>
                </c:pt>
              </c:numCache>
            </c:numRef>
          </c:val>
          <c:extLst>
            <c:ext xmlns:c16="http://schemas.microsoft.com/office/drawing/2014/chart" uri="{C3380CC4-5D6E-409C-BE32-E72D297353CC}">
              <c16:uniqueId val="{0000000A-4F9E-4DAC-BF44-FA2537FC4605}"/>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DB34-4751-A5DC-3662229C17A9}"/>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3.6</c:v>
                </c:pt>
              </c:numCache>
            </c:numRef>
          </c:val>
          <c:extLst>
            <c:ext xmlns:c16="http://schemas.microsoft.com/office/drawing/2014/chart" uri="{C3380CC4-5D6E-409C-BE32-E72D297353CC}">
              <c16:uniqueId val="{0000000B-4F9E-4DAC-BF44-FA2537FC4605}"/>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2.8</c:v>
                </c:pt>
              </c:numCache>
            </c:numRef>
          </c:val>
          <c:extLst>
            <c:ext xmlns:c16="http://schemas.microsoft.com/office/drawing/2014/chart" uri="{C3380CC4-5D6E-409C-BE32-E72D297353CC}">
              <c16:uniqueId val="{0000000C-4F9E-4DAC-BF44-FA2537FC4605}"/>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3</c:v>
                </c:pt>
              </c:numCache>
            </c:numRef>
          </c:val>
          <c:extLst>
            <c:ext xmlns:c16="http://schemas.microsoft.com/office/drawing/2014/chart" uri="{C3380CC4-5D6E-409C-BE32-E72D297353CC}">
              <c16:uniqueId val="{0000000D-4F9E-4DAC-BF44-FA2537FC4605}"/>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3.2</c:v>
                </c:pt>
              </c:numCache>
            </c:numRef>
          </c:val>
          <c:extLst>
            <c:ext xmlns:c16="http://schemas.microsoft.com/office/drawing/2014/chart" uri="{C3380CC4-5D6E-409C-BE32-E72D297353CC}">
              <c16:uniqueId val="{0000000E-4F9E-4DAC-BF44-FA2537FC4605}"/>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4.2</c:v>
                </c:pt>
              </c:numCache>
            </c:numRef>
          </c:val>
          <c:extLst>
            <c:ext xmlns:c16="http://schemas.microsoft.com/office/drawing/2014/chart" uri="{C3380CC4-5D6E-409C-BE32-E72D297353CC}">
              <c16:uniqueId val="{0000000F-4F9E-4DAC-BF44-FA2537FC4605}"/>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4.2</c:v>
                </c:pt>
              </c:numCache>
            </c:numRef>
          </c:val>
          <c:extLst>
            <c:ext xmlns:c16="http://schemas.microsoft.com/office/drawing/2014/chart" uri="{C3380CC4-5D6E-409C-BE32-E72D297353CC}">
              <c16:uniqueId val="{00000010-4F9E-4DAC-BF44-FA2537FC4605}"/>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566106808"/>
        <c:axId val="566105632"/>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3.4769230769230779</c:v>
                </c:pt>
              </c:numCache>
            </c:numRef>
          </c:val>
          <c:extLst>
            <c:ext xmlns:c16="http://schemas.microsoft.com/office/drawing/2014/chart" uri="{C3380CC4-5D6E-409C-BE32-E72D297353CC}">
              <c16:uniqueId val="{00000014-4F9E-4DAC-BF44-FA2537FC4605}"/>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6-4F9E-4DAC-BF44-FA2537FC4605}"/>
              </c:ext>
            </c:extLst>
          </c:dPt>
          <c:dLbls>
            <c:delete val="1"/>
          </c:dLbls>
          <c:val>
            <c:numRef>
              <c:f>ONTW.PERSPECTIEF!$AA$13</c:f>
              <c:numCache>
                <c:formatCode>0.0</c:formatCode>
                <c:ptCount val="1"/>
                <c:pt idx="0">
                  <c:v>0</c:v>
                </c:pt>
              </c:numCache>
            </c:numRef>
          </c:val>
          <c:extLst>
            <c:ext xmlns:c16="http://schemas.microsoft.com/office/drawing/2014/chart" uri="{C3380CC4-5D6E-409C-BE32-E72D297353CC}">
              <c16:uniqueId val="{00000017-4F9E-4DAC-BF44-FA2537FC4605}"/>
            </c:ext>
          </c:extLst>
        </c:ser>
        <c:dLbls>
          <c:dLblPos val="inEnd"/>
          <c:showLegendKey val="0"/>
          <c:showVal val="1"/>
          <c:showCatName val="0"/>
          <c:showSerName val="0"/>
          <c:showPercent val="0"/>
          <c:showBubbleSize val="0"/>
        </c:dLbls>
        <c:gapWidth val="1"/>
        <c:overlap val="100"/>
        <c:axId val="566106416"/>
        <c:axId val="566106024"/>
      </c:barChart>
      <c:catAx>
        <c:axId val="566106808"/>
        <c:scaling>
          <c:orientation val="minMax"/>
        </c:scaling>
        <c:delete val="1"/>
        <c:axPos val="b"/>
        <c:numFmt formatCode="General" sourceLinked="1"/>
        <c:majorTickMark val="none"/>
        <c:minorTickMark val="none"/>
        <c:tickLblPos val="nextTo"/>
        <c:crossAx val="566105632"/>
        <c:crosses val="autoZero"/>
        <c:auto val="1"/>
        <c:lblAlgn val="ctr"/>
        <c:lblOffset val="100"/>
        <c:noMultiLvlLbl val="0"/>
      </c:catAx>
      <c:valAx>
        <c:axId val="56610563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566106808"/>
        <c:crosses val="autoZero"/>
        <c:crossBetween val="between"/>
      </c:valAx>
      <c:valAx>
        <c:axId val="566106024"/>
        <c:scaling>
          <c:orientation val="minMax"/>
        </c:scaling>
        <c:delete val="1"/>
        <c:axPos val="r"/>
        <c:numFmt formatCode="0.0" sourceLinked="1"/>
        <c:majorTickMark val="out"/>
        <c:minorTickMark val="none"/>
        <c:tickLblPos val="nextTo"/>
        <c:crossAx val="566106416"/>
        <c:crosses val="max"/>
        <c:crossBetween val="between"/>
      </c:valAx>
      <c:catAx>
        <c:axId val="566106416"/>
        <c:scaling>
          <c:orientation val="minMax"/>
        </c:scaling>
        <c:delete val="1"/>
        <c:axPos val="b"/>
        <c:majorTickMark val="out"/>
        <c:minorTickMark val="none"/>
        <c:tickLblPos val="nextTo"/>
        <c:crossAx val="566106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804D-42D3-84F7-CF8456E12B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12</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12</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12</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804D-42D3-84F7-CF8456E12B9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38</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48</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566107592"/>
        <c:axId val="566108768"/>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24.4</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566101712"/>
        <c:axId val="566111120"/>
      </c:barChart>
      <c:catAx>
        <c:axId val="566107592"/>
        <c:scaling>
          <c:orientation val="minMax"/>
        </c:scaling>
        <c:delete val="1"/>
        <c:axPos val="b"/>
        <c:numFmt formatCode="General" sourceLinked="1"/>
        <c:majorTickMark val="none"/>
        <c:minorTickMark val="none"/>
        <c:tickLblPos val="nextTo"/>
        <c:crossAx val="566108768"/>
        <c:crosses val="autoZero"/>
        <c:auto val="1"/>
        <c:lblAlgn val="ctr"/>
        <c:lblOffset val="100"/>
        <c:noMultiLvlLbl val="0"/>
      </c:catAx>
      <c:valAx>
        <c:axId val="566108768"/>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566107592"/>
        <c:crosses val="autoZero"/>
        <c:crossBetween val="between"/>
        <c:majorUnit val="5"/>
      </c:valAx>
      <c:valAx>
        <c:axId val="566111120"/>
        <c:scaling>
          <c:orientation val="minMax"/>
        </c:scaling>
        <c:delete val="1"/>
        <c:axPos val="r"/>
        <c:numFmt formatCode="0.0" sourceLinked="1"/>
        <c:majorTickMark val="out"/>
        <c:minorTickMark val="none"/>
        <c:tickLblPos val="nextTo"/>
        <c:crossAx val="566101712"/>
        <c:crosses val="max"/>
        <c:crossBetween val="between"/>
      </c:valAx>
      <c:catAx>
        <c:axId val="566101712"/>
        <c:scaling>
          <c:orientation val="minMax"/>
        </c:scaling>
        <c:delete val="1"/>
        <c:axPos val="b"/>
        <c:majorTickMark val="out"/>
        <c:minorTickMark val="none"/>
        <c:tickLblPos val="nextTo"/>
        <c:crossAx val="566111120"/>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BD-F654-41E4-871E-E93D1DF6D96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BE-F654-41E4-871E-E93D1DF6D96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BF-F654-41E4-871E-E93D1DF6D96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0-F654-41E4-871E-E93D1DF6D96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1-F654-41E4-871E-E93D1DF6D96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2-F654-41E4-871E-E93D1DF6D96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C3-F654-41E4-871E-E93D1DF6D96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C4-F654-41E4-871E-E93D1DF6D96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C5-F654-41E4-871E-E93D1DF6D96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C6-F654-41E4-871E-E93D1DF6D96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C7-F654-41E4-871E-E93D1DF6D96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C8-F654-41E4-871E-E93D1DF6D96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9-F654-41E4-871E-E93D1DF6D96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A-F654-41E4-871E-E93D1DF6D96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CB-F654-41E4-871E-E93D1DF6D96F}"/>
              </c:ext>
            </c:extLst>
          </c:dPt>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BC-F654-41E4-871E-E93D1DF6D96F}"/>
            </c:ext>
          </c:extLst>
        </c:ser>
        <c:ser>
          <c:idx val="11"/>
          <c:order val="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CC-F654-41E4-871E-E93D1DF6D96F}"/>
            </c:ext>
          </c:extLst>
        </c:ser>
        <c:ser>
          <c:idx val="12"/>
          <c:order val="2"/>
          <c:spPr>
            <a:solidFill>
              <a:srgbClr val="FFFFFF"/>
            </a:solid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CD-F654-41E4-871E-E93D1DF6D96F}"/>
            </c:ext>
          </c:extLst>
        </c:ser>
        <c:ser>
          <c:idx val="13"/>
          <c:order val="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CE-F654-41E4-871E-E93D1DF6D96F}"/>
            </c:ext>
          </c:extLst>
        </c:ser>
        <c:ser>
          <c:idx val="14"/>
          <c:order val="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CF-F654-41E4-871E-E93D1DF6D96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D1-F654-41E4-871E-E93D1DF6D96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D2-F654-41E4-871E-E93D1DF6D96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D3-F654-41E4-871E-E93D1DF6D96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4-F654-41E4-871E-E93D1DF6D96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5-F654-41E4-871E-E93D1DF6D96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6-F654-41E4-871E-E93D1DF6D96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D7-F654-41E4-871E-E93D1DF6D96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D8-F654-41E4-871E-E93D1DF6D96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D9-F654-41E4-871E-E93D1DF6D96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DA-F654-41E4-871E-E93D1DF6D96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DB-F654-41E4-871E-E93D1DF6D96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DC-F654-41E4-871E-E93D1DF6D96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D-F654-41E4-871E-E93D1DF6D96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E-F654-41E4-871E-E93D1DF6D96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DF-F654-41E4-871E-E93D1DF6D96F}"/>
              </c:ext>
            </c:extLst>
          </c:dPt>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D0-F654-41E4-871E-E93D1DF6D96F}"/>
            </c:ext>
          </c:extLst>
        </c:ser>
        <c:ser>
          <c:idx val="16"/>
          <c:order val="6"/>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E0-F654-41E4-871E-E93D1DF6D96F}"/>
            </c:ext>
          </c:extLst>
        </c:ser>
        <c:ser>
          <c:idx val="17"/>
          <c:order val="7"/>
          <c:spPr>
            <a:solidFill>
              <a:srgbClr val="FFFFFF"/>
            </a:solid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E1-F654-41E4-871E-E93D1DF6D96F}"/>
            </c:ext>
          </c:extLst>
        </c:ser>
        <c:ser>
          <c:idx val="18"/>
          <c:order val="8"/>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E2-F654-41E4-871E-E93D1DF6D96F}"/>
            </c:ext>
          </c:extLst>
        </c:ser>
        <c:ser>
          <c:idx val="19"/>
          <c:order val="9"/>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E3-F654-41E4-871E-E93D1DF6D96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8-F654-41E4-871E-E93D1DF6D96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F654-41E4-871E-E93D1DF6D96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F654-41E4-871E-E93D1DF6D96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E-F654-41E4-871E-E93D1DF6D96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F654-41E4-871E-E93D1DF6D96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F654-41E4-871E-E93D1DF6D96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4-F654-41E4-871E-E93D1DF6D96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F654-41E4-871E-E93D1DF6D96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F654-41E4-871E-E93D1DF6D96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A-F654-41E4-871E-E93D1DF6D96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F654-41E4-871E-E93D1DF6D96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F654-41E4-871E-E93D1DF6D96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0-F654-41E4-871E-E93D1DF6D96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F654-41E4-871E-E93D1DF6D96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F654-41E4-871E-E93D1DF6D96F}"/>
              </c:ext>
            </c:extLst>
          </c:dPt>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85-F654-41E4-871E-E93D1DF6D96F}"/>
            </c:ext>
          </c:extLst>
        </c:ser>
        <c:ser>
          <c:idx val="6"/>
          <c:order val="11"/>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7-F654-41E4-871E-E93D1DF6D96F}"/>
            </c:ext>
          </c:extLst>
        </c:ser>
        <c:ser>
          <c:idx val="7"/>
          <c:order val="12"/>
          <c:spPr>
            <a:solidFill>
              <a:srgbClr val="FFFFFF"/>
            </a:solid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89-F654-41E4-871E-E93D1DF6D96F}"/>
            </c:ext>
          </c:extLst>
        </c:ser>
        <c:ser>
          <c:idx val="8"/>
          <c:order val="13"/>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8B-F654-41E4-871E-E93D1DF6D96F}"/>
            </c:ext>
          </c:extLst>
        </c:ser>
        <c:ser>
          <c:idx val="9"/>
          <c:order val="14"/>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8D-F654-41E4-871E-E93D1DF6D96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90-F654-41E4-871E-E93D1DF6D96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92-F654-41E4-871E-E93D1DF6D96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94-F654-41E4-871E-E93D1DF6D96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96-F654-41E4-871E-E93D1DF6D96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98-F654-41E4-871E-E93D1DF6D96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9A-F654-41E4-871E-E93D1DF6D96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9C-F654-41E4-871E-E93D1DF6D96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9E-F654-41E4-871E-E93D1DF6D96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A0-F654-41E4-871E-E93D1DF6D96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A2-F654-41E4-871E-E93D1DF6D96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A4-F654-41E4-871E-E93D1DF6D96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A6-F654-41E4-871E-E93D1DF6D96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A8-F654-41E4-871E-E93D1DF6D96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AA-F654-41E4-871E-E93D1DF6D96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AC-F654-41E4-871E-E93D1DF6D96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AE-F654-41E4-871E-E93D1DF6D96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B0-F654-41E4-871E-E93D1DF6D96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B2-F654-41E4-871E-E93D1DF6D96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OPO!$Y$9:$AM$9</c:f>
              <c:numCache>
                <c:formatCode>0.0</c:formatCode>
                <c:ptCount val="15"/>
                <c:pt idx="0">
                  <c:v>3.6</c:v>
                </c:pt>
                <c:pt idx="1">
                  <c:v>4.2</c:v>
                </c:pt>
                <c:pt idx="2">
                  <c:v>0</c:v>
                </c:pt>
                <c:pt idx="3">
                  <c:v>4.7</c:v>
                </c:pt>
                <c:pt idx="4">
                  <c:v>4.5</c:v>
                </c:pt>
                <c:pt idx="5">
                  <c:v>4.9000000000000004</c:v>
                </c:pt>
                <c:pt idx="6">
                  <c:v>4.2</c:v>
                </c:pt>
                <c:pt idx="7">
                  <c:v>4.4000000000000004</c:v>
                </c:pt>
                <c:pt idx="8">
                  <c:v>3.6</c:v>
                </c:pt>
                <c:pt idx="9">
                  <c:v>4.0999999999999996</c:v>
                </c:pt>
                <c:pt idx="10">
                  <c:v>4.7</c:v>
                </c:pt>
                <c:pt idx="11">
                  <c:v>4.3</c:v>
                </c:pt>
                <c:pt idx="12">
                  <c:v>4.3</c:v>
                </c:pt>
                <c:pt idx="13">
                  <c:v>4.0999999999999996</c:v>
                </c:pt>
                <c:pt idx="14">
                  <c:v>0</c:v>
                </c:pt>
              </c:numCache>
            </c:numRef>
          </c:val>
          <c:extLst>
            <c:ext xmlns:c16="http://schemas.microsoft.com/office/drawing/2014/chart" uri="{C3380CC4-5D6E-409C-BE32-E72D297353CC}">
              <c16:uniqueId val="{000000B3-F654-41E4-871E-E93D1DF6D96F}"/>
            </c:ext>
          </c:extLst>
        </c:ser>
        <c:ser>
          <c:idx val="4"/>
          <c:order val="16"/>
          <c:invertIfNegative val="0"/>
          <c:cat>
            <c:strRef>
              <c:f>OPO!$Y$6:$AM$6</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B5-F654-41E4-871E-E93D1DF6D96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OPO!$Y$6:$AM$6</c:f>
              <c:strCache>
                <c:ptCount val="13"/>
                <c:pt idx="0">
                  <c:v>TL</c:v>
                </c:pt>
                <c:pt idx="3">
                  <c:v>SP</c:v>
                </c:pt>
                <c:pt idx="6">
                  <c:v>BL</c:v>
                </c:pt>
                <c:pt idx="9">
                  <c:v>RW</c:v>
                </c:pt>
                <c:pt idx="12">
                  <c:v>HR</c:v>
                </c:pt>
              </c:strCache>
            </c:strRef>
          </c:cat>
          <c:val>
            <c:numRef>
              <c:f>OPO!$Y$8:$AM$8</c:f>
              <c:numCache>
                <c:formatCode>0.0</c:formatCode>
                <c:ptCount val="15"/>
                <c:pt idx="0">
                  <c:v>1.8</c:v>
                </c:pt>
                <c:pt idx="1">
                  <c:v>2.2999999999999998</c:v>
                </c:pt>
                <c:pt idx="2">
                  <c:v>0</c:v>
                </c:pt>
                <c:pt idx="3">
                  <c:v>2.9</c:v>
                </c:pt>
                <c:pt idx="4">
                  <c:v>3.3</c:v>
                </c:pt>
                <c:pt idx="5">
                  <c:v>2.5</c:v>
                </c:pt>
                <c:pt idx="6">
                  <c:v>2.2000000000000002</c:v>
                </c:pt>
                <c:pt idx="7">
                  <c:v>2</c:v>
                </c:pt>
                <c:pt idx="8">
                  <c:v>2.2999999999999998</c:v>
                </c:pt>
                <c:pt idx="9">
                  <c:v>1.6</c:v>
                </c:pt>
                <c:pt idx="10">
                  <c:v>2.6</c:v>
                </c:pt>
                <c:pt idx="11">
                  <c:v>2.6</c:v>
                </c:pt>
                <c:pt idx="12">
                  <c:v>2.8</c:v>
                </c:pt>
                <c:pt idx="13">
                  <c:v>2.1</c:v>
                </c:pt>
                <c:pt idx="14">
                  <c:v>0</c:v>
                </c:pt>
              </c:numCache>
            </c:numRef>
          </c:val>
          <c:extLst>
            <c:ext xmlns:c16="http://schemas.microsoft.com/office/drawing/2014/chart" uri="{C3380CC4-5D6E-409C-BE32-E72D297353CC}">
              <c16:uniqueId val="{000000B7-F654-41E4-871E-E93D1DF6D96F}"/>
            </c:ext>
          </c:extLst>
        </c:ser>
        <c:ser>
          <c:idx val="2"/>
          <c:order val="18"/>
          <c:spPr>
            <a:noFill/>
            <a:ln w="12700">
              <a:solidFill>
                <a:srgbClr val="000000"/>
              </a:solidFill>
              <a:prstDash val="solid"/>
            </a:ln>
          </c:spPr>
          <c:invertIfNegative val="0"/>
          <c:cat>
            <c:strRef>
              <c:f>OPO!$Y$6:$AM$6</c:f>
              <c:strCache>
                <c:ptCount val="13"/>
                <c:pt idx="0">
                  <c:v>TL</c:v>
                </c:pt>
                <c:pt idx="3">
                  <c:v>SP</c:v>
                </c:pt>
                <c:pt idx="6">
                  <c:v>BL</c:v>
                </c:pt>
                <c:pt idx="9">
                  <c:v>RW</c:v>
                </c:pt>
                <c:pt idx="12">
                  <c:v>HR</c:v>
                </c:pt>
              </c:strCache>
            </c:strRef>
          </c:cat>
          <c:val>
            <c:numRef>
              <c:f>OPO!$Y$10:$AM$10</c:f>
              <c:numCache>
                <c:formatCode>General</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B9-F654-41E4-871E-E93D1DF6D96F}"/>
            </c:ext>
          </c:extLst>
        </c:ser>
        <c:ser>
          <c:idx val="3"/>
          <c:order val="19"/>
          <c:spPr>
            <a:noFill/>
            <a:ln w="12700">
              <a:solidFill>
                <a:srgbClr val="000000"/>
              </a:solidFill>
              <a:prstDash val="solid"/>
            </a:ln>
          </c:spPr>
          <c:invertIfNegative val="0"/>
          <c:cat>
            <c:strRef>
              <c:f>OPO!$D$6:$P$6</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OPO!$Y$11:$AM$11</c:f>
              <c:numCache>
                <c:formatCode>General</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BB-F654-41E4-871E-E93D1DF6D96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OPO!$AV$9</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OPO!$AV$10</c:f>
              <c:numCache>
                <c:formatCode>General</c:formatCode>
                <c:ptCount val="1"/>
                <c:pt idx="0">
                  <c:v>5</c:v>
                </c:pt>
              </c:numCache>
            </c:numRef>
          </c:val>
          <c:extLst>
            <c:ext xmlns:c16="http://schemas.microsoft.com/office/drawing/2014/chart" uri="{C3380CC4-5D6E-409C-BE32-E72D297353CC}">
              <c16:uniqueId val="{00000000-FCDD-454C-8085-DAC6BE5A1568}"/>
            </c:ext>
          </c:extLst>
        </c:ser>
        <c:ser>
          <c:idx val="4"/>
          <c:order val="1"/>
          <c:tx>
            <c:strRef>
              <c:f>OPO!$AU$9</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OPO!$AU$10</c:f>
              <c:numCache>
                <c:formatCode>General</c:formatCode>
                <c:ptCount val="1"/>
                <c:pt idx="0">
                  <c:v>4.2</c:v>
                </c:pt>
              </c:numCache>
            </c:numRef>
          </c:val>
          <c:extLst>
            <c:ext xmlns:c16="http://schemas.microsoft.com/office/drawing/2014/chart" uri="{C3380CC4-5D6E-409C-BE32-E72D297353CC}">
              <c16:uniqueId val="{00000001-FCDD-454C-8085-DAC6BE5A1568}"/>
            </c:ext>
          </c:extLst>
        </c:ser>
        <c:ser>
          <c:idx val="3"/>
          <c:order val="2"/>
          <c:tx>
            <c:strRef>
              <c:f>OPO!$AT$9</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OPO!$AT$10</c:f>
              <c:numCache>
                <c:formatCode>General</c:formatCode>
                <c:ptCount val="1"/>
                <c:pt idx="0">
                  <c:v>3.3</c:v>
                </c:pt>
              </c:numCache>
            </c:numRef>
          </c:val>
          <c:extLst>
            <c:ext xmlns:c16="http://schemas.microsoft.com/office/drawing/2014/chart" uri="{C3380CC4-5D6E-409C-BE32-E72D297353CC}">
              <c16:uniqueId val="{00000002-FCDD-454C-8085-DAC6BE5A1568}"/>
            </c:ext>
          </c:extLst>
        </c:ser>
        <c:ser>
          <c:idx val="2"/>
          <c:order val="3"/>
          <c:tx>
            <c:strRef>
              <c:f>OPO!$AS$9</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OPO!$AS$10</c:f>
              <c:numCache>
                <c:formatCode>General</c:formatCode>
                <c:ptCount val="1"/>
                <c:pt idx="0">
                  <c:v>2.4</c:v>
                </c:pt>
              </c:numCache>
            </c:numRef>
          </c:val>
          <c:extLst>
            <c:ext xmlns:c16="http://schemas.microsoft.com/office/drawing/2014/chart" uri="{C3380CC4-5D6E-409C-BE32-E72D297353CC}">
              <c16:uniqueId val="{00000003-FCDD-454C-8085-DAC6BE5A1568}"/>
            </c:ext>
          </c:extLst>
        </c:ser>
        <c:ser>
          <c:idx val="1"/>
          <c:order val="4"/>
          <c:tx>
            <c:strRef>
              <c:f>OPO!$AR$9</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OPO!$AR$10</c:f>
              <c:numCache>
                <c:formatCode>General</c:formatCode>
                <c:ptCount val="1"/>
                <c:pt idx="0">
                  <c:v>1.5</c:v>
                </c:pt>
              </c:numCache>
            </c:numRef>
          </c:val>
          <c:extLst>
            <c:ext xmlns:c16="http://schemas.microsoft.com/office/drawing/2014/chart" uri="{C3380CC4-5D6E-409C-BE32-E72D297353CC}">
              <c16:uniqueId val="{00000004-FCDD-454C-8085-DAC6BE5A1568}"/>
            </c:ext>
          </c:extLst>
        </c:ser>
        <c:ser>
          <c:idx val="0"/>
          <c:order val="5"/>
          <c:tx>
            <c:strRef>
              <c:f>OPO!$AQ$9</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OPO!$AQ$10</c:f>
              <c:numCache>
                <c:formatCode>General</c:formatCode>
                <c:ptCount val="1"/>
                <c:pt idx="0">
                  <c:v>0.5</c:v>
                </c:pt>
              </c:numCache>
            </c:numRef>
          </c:val>
          <c:extLst>
            <c:ext xmlns:c16="http://schemas.microsoft.com/office/drawing/2014/chart" uri="{C3380CC4-5D6E-409C-BE32-E72D297353CC}">
              <c16:uniqueId val="{00000005-FCDD-454C-8085-DAC6BE5A1568}"/>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H$30" lockText="1" noThreeD="1"/>
</file>

<file path=xl/ctrlProps/ctrlProp107.xml><?xml version="1.0" encoding="utf-8"?>
<formControlPr xmlns="http://schemas.microsoft.com/office/spreadsheetml/2009/9/main" objectType="Radio" checked="Checked"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H$32" lockText="1" noThreeD="1"/>
</file>

<file path=xl/ctrlProps/ctrlProp115.xml><?xml version="1.0" encoding="utf-8"?>
<formControlPr xmlns="http://schemas.microsoft.com/office/spreadsheetml/2009/9/main" objectType="Radio" checked="Checked"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firstButton="1" fmlaLink="$H$33" lockText="1" noThreeD="1"/>
</file>

<file path=xl/ctrlProps/ctrlProp119.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firstButton="1" fmlaLink="$H$34" lockText="1" noThreeD="1"/>
</file>

<file path=xl/ctrlProps/ctrlProp123.xml><?xml version="1.0" encoding="utf-8"?>
<formControlPr xmlns="http://schemas.microsoft.com/office/spreadsheetml/2009/9/main" objectType="Radio" checked="Checked"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firstButton="1" fmlaLink="$H$37" lockText="1" noThreeD="1"/>
</file>

<file path=xl/ctrlProps/ctrlProp135.xml><?xml version="1.0" encoding="utf-8"?>
<formControlPr xmlns="http://schemas.microsoft.com/office/spreadsheetml/2009/9/main" objectType="Radio" checked="Checked"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checked="Checked"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checked="Checked" fmlaLink="$Z$8" lockText="1" noThreeD="1"/>
</file>

<file path=xl/ctrlProps/ctrlProp37.xml><?xml version="1.0" encoding="utf-8"?>
<formControlPr xmlns="http://schemas.microsoft.com/office/spreadsheetml/2009/9/main" objectType="Radio" checked="Checked"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H$15" lockText="1" noThreeD="1"/>
</file>

<file path=xl/ctrlProps/ctrlProp47.xml><?xml version="1.0" encoding="utf-8"?>
<formControlPr xmlns="http://schemas.microsoft.com/office/spreadsheetml/2009/9/main" objectType="Radio" checked="Checked"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H$18" lockText="1" noThreeD="1"/>
</file>

<file path=xl/ctrlProps/ctrlProp59.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checked="Checked" firstButton="1" fmlaLink="$H$19"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firstButton="1" fmlaLink="$H$21" lockText="1" noThreeD="1"/>
</file>

<file path=xl/ctrlProps/ctrlProp71.xml><?xml version="1.0" encoding="utf-8"?>
<formControlPr xmlns="http://schemas.microsoft.com/office/spreadsheetml/2009/9/main" objectType="Radio" checked="Checked"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firstButton="1" fmlaLink="$H$23"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firstButton="1" fmlaLink="$H$26" lockText="1" noThreeD="1"/>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firstButton="1" fmlaLink="$H$27" lockText="1" noThreeD="1"/>
</file>

<file path=xl/ctrlProps/ctrlProp95.xml><?xml version="1.0" encoding="utf-8"?>
<formControlPr xmlns="http://schemas.microsoft.com/office/spreadsheetml/2009/9/main" objectType="Radio" checked="Checked"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H$28"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chart" Target="../charts/chart2.xml"/><Relationship Id="rId5" Type="http://schemas.openxmlformats.org/officeDocument/2006/relationships/hyperlink" Target="#BEGINBLAD!A1"/><Relationship Id="rId4" Type="http://schemas.openxmlformats.org/officeDocument/2006/relationships/hyperlink" Target="#'info-11'!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chart" Target="../charts/chart3.xml"/><Relationship Id="rId5" Type="http://schemas.openxmlformats.org/officeDocument/2006/relationships/hyperlink" Target="#BEGINBLAD!A1"/><Relationship Id="rId4" Type="http://schemas.openxmlformats.org/officeDocument/2006/relationships/hyperlink" Target="#'info-11'!A1"/></Relationships>
</file>

<file path=xl/drawings/_rels/drawing2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chart" Target="../charts/chart4.xml"/><Relationship Id="rId5" Type="http://schemas.openxmlformats.org/officeDocument/2006/relationships/hyperlink" Target="#BEGINBLAD!A1"/><Relationship Id="rId4" Type="http://schemas.openxmlformats.org/officeDocument/2006/relationships/hyperlink" Target="#'info-11'!A1"/></Relationships>
</file>

<file path=xl/drawings/_rels/drawing22.xml.rels><?xml version="1.0" encoding="UTF-8" standalone="yes"?>
<Relationships xmlns="http://schemas.openxmlformats.org/package/2006/relationships"><Relationship Id="rId3" Type="http://schemas.openxmlformats.org/officeDocument/2006/relationships/hyperlink" Target="#'info-7'!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hyperlink" Target="#BEGINBLAD!A1"/></Relationships>
</file>

<file path=xl/drawings/_rels/drawing23.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hyperlink" Target="#BEGINBLAD!A1"/><Relationship Id="rId5" Type="http://schemas.openxmlformats.org/officeDocument/2006/relationships/hyperlink" Target="#'info-11'!A1"/><Relationship Id="rId4"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14.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28.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15.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29.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16.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17.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1.xml.rels><?xml version="1.0" encoding="UTF-8" standalone="yes"?>
<Relationships xmlns="http://schemas.openxmlformats.org/package/2006/relationships"><Relationship Id="rId8" Type="http://schemas.openxmlformats.org/officeDocument/2006/relationships/hyperlink" Target="#'INTENSIEF - 1e periode'!A1"/><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TOETSAFSPRAKEN EN NOTOTIES'!A1"/><Relationship Id="rId3" Type="http://schemas.openxmlformats.org/officeDocument/2006/relationships/hyperlink" Target="#'VERRIJKT - 2e periode'!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https://www.onderwijsinspectie.nl/trends-en-ontwikkelingen/documenten/rapporten/2020/05/04/schoolweging-2017-2018-2018-2019-2019-2020" TargetMode="External"/><Relationship Id="rId33" Type="http://schemas.openxmlformats.org/officeDocument/2006/relationships/hyperlink" Target="#Referentieniveau!A1"/><Relationship Id="rId38" Type="http://schemas.openxmlformats.org/officeDocument/2006/relationships/image" Target="../media/image28.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OUDERBRIEF!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s>
</file>

<file path=xl/drawings/_rels/drawing32.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33.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1e periode'!A1"/><Relationship Id="rId7" Type="http://schemas.openxmlformats.org/officeDocument/2006/relationships/chart" Target="../charts/chart20.xml"/><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hyperlink" Target="#'VERRIJKT - 1e periode'!A1"/><Relationship Id="rId9" Type="http://schemas.openxmlformats.org/officeDocument/2006/relationships/hyperlink" Target="#BEGINBLAD!A1"/></Relationships>
</file>

<file path=xl/drawings/_rels/drawing34.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1e periode'!A1"/><Relationship Id="rId7" Type="http://schemas.openxmlformats.org/officeDocument/2006/relationships/chart" Target="../charts/chart23.xml"/><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hyperlink" Target="#'VERRIJKT - 1e periode'!A1"/><Relationship Id="rId9" Type="http://schemas.openxmlformats.org/officeDocument/2006/relationships/hyperlink" Target="#BEGINBLAD!A1"/></Relationships>
</file>

<file path=xl/drawings/_rels/drawing35.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2e periode'!A1"/><Relationship Id="rId7" Type="http://schemas.openxmlformats.org/officeDocument/2006/relationships/chart" Target="../charts/chart26.xml"/><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hyperlink" Target="#'VERRIJKT - 2e periode'!A1"/><Relationship Id="rId9" Type="http://schemas.openxmlformats.org/officeDocument/2006/relationships/hyperlink" Target="#BEGINBLAD!A1"/></Relationships>
</file>

<file path=xl/drawings/_rels/drawing36.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2e periode'!A1"/><Relationship Id="rId7" Type="http://schemas.openxmlformats.org/officeDocument/2006/relationships/chart" Target="../charts/chart29.xml"/><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hyperlink" Target="#'VERRIJKT - 2e periode'!A1"/><Relationship Id="rId9" Type="http://schemas.openxmlformats.org/officeDocument/2006/relationships/hyperlink" Target="#BEGINBLAD!A1"/></Relationships>
</file>

<file path=xl/drawings/_rels/drawing37.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1e periode'!A1"/><Relationship Id="rId7" Type="http://schemas.openxmlformats.org/officeDocument/2006/relationships/chart" Target="../charts/chart32.xml"/><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hyperlink" Target="#'VERRIJKT - 1e periode'!A1"/><Relationship Id="rId9" Type="http://schemas.openxmlformats.org/officeDocument/2006/relationships/hyperlink" Target="#BEGINBLAD!A1"/></Relationships>
</file>

<file path=xl/drawings/_rels/drawing38.xml.rels><?xml version="1.0" encoding="UTF-8" standalone="yes"?>
<Relationships xmlns="http://schemas.openxmlformats.org/package/2006/relationships"><Relationship Id="rId8" Type="http://schemas.openxmlformats.org/officeDocument/2006/relationships/hyperlink" Target="#'info-6'!A1"/><Relationship Id="rId3" Type="http://schemas.openxmlformats.org/officeDocument/2006/relationships/hyperlink" Target="#'INTENSIEF - 1e periode'!A1"/><Relationship Id="rId7" Type="http://schemas.openxmlformats.org/officeDocument/2006/relationships/chart" Target="../charts/chart35.xml"/><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hyperlink" Target="#'VERRIJKT - 1e periode'!A1"/><Relationship Id="rId9" Type="http://schemas.openxmlformats.org/officeDocument/2006/relationships/hyperlink" Target="#BEGINBLAD!A1"/></Relationships>
</file>

<file path=xl/drawings/_rels/drawing39.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hyperlink" Target="#BEGINBLAD!A1"/></Relationships>
</file>

<file path=xl/drawings/_rels/drawing4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419100</xdr:colOff>
      <xdr:row>6</xdr:row>
      <xdr:rowOff>44450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3200"/>
          <a:ext cx="2520950" cy="88900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39</xdr:row>
      <xdr:rowOff>152400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17</xdr:col>
      <xdr:colOff>622300</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615950</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10</xdr:col>
      <xdr:colOff>288925</xdr:colOff>
      <xdr:row>1</xdr:row>
      <xdr:rowOff>0</xdr:rowOff>
    </xdr:from>
    <xdr:to>
      <xdr:col>13</xdr:col>
      <xdr:colOff>135402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0E00-00000A000000}"/>
            </a:ext>
          </a:extLst>
        </xdr:cNvPr>
        <xdr:cNvSpPr>
          <a:spLocks noChangeArrowheads="1"/>
        </xdr:cNvSpPr>
      </xdr:nvSpPr>
      <xdr:spPr bwMode="auto">
        <a:xfrm>
          <a:off x="46577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0E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285107</xdr:colOff>
      <xdr:row>1</xdr:row>
      <xdr:rowOff>0</xdr:rowOff>
    </xdr:from>
    <xdr:to>
      <xdr:col>13</xdr:col>
      <xdr:colOff>132555</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0F00-00000A000000}"/>
            </a:ext>
          </a:extLst>
        </xdr:cNvPr>
        <xdr:cNvSpPr>
          <a:spLocks noChangeArrowheads="1"/>
        </xdr:cNvSpPr>
      </xdr:nvSpPr>
      <xdr:spPr bwMode="auto">
        <a:xfrm>
          <a:off x="4658831" y="200867"/>
          <a:ext cx="1052653" cy="5490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302337</xdr:colOff>
      <xdr:row>5</xdr:row>
      <xdr:rowOff>131108</xdr:rowOff>
    </xdr:from>
    <xdr:to>
      <xdr:col>13</xdr:col>
      <xdr:colOff>121350</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0F00-00000B000000}"/>
            </a:ext>
          </a:extLst>
        </xdr:cNvPr>
        <xdr:cNvSpPr>
          <a:spLocks noChangeArrowheads="1"/>
        </xdr:cNvSpPr>
      </xdr:nvSpPr>
      <xdr:spPr bwMode="auto">
        <a:xfrm>
          <a:off x="4676061" y="895700"/>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0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0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2" name="Pijl: link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028700" y="3606800"/>
          <a:ext cx="2495550"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670982</xdr:colOff>
      <xdr:row>2</xdr:row>
      <xdr:rowOff>8467</xdr:rowOff>
    </xdr:from>
    <xdr:to>
      <xdr:col>12</xdr:col>
      <xdr:colOff>1291166</xdr:colOff>
      <xdr:row>20</xdr:row>
      <xdr:rowOff>84667</xdr:rowOff>
    </xdr:to>
    <xdr:graphicFrame macro="">
      <xdr:nvGraphicFramePr>
        <xdr:cNvPr id="3" name="Grafiek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14653</xdr:colOff>
      <xdr:row>65</xdr:row>
      <xdr:rowOff>26865</xdr:rowOff>
    </xdr:from>
    <xdr:to>
      <xdr:col>20</xdr:col>
      <xdr:colOff>15875</xdr:colOff>
      <xdr:row>105</xdr:row>
      <xdr:rowOff>31750</xdr:rowOff>
    </xdr:to>
    <xdr:pic>
      <xdr:nvPicPr>
        <xdr:cNvPr id="7" name="Afbeelding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2528" y="16965490"/>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289414</xdr:colOff>
      <xdr:row>68</xdr:row>
      <xdr:rowOff>43962</xdr:rowOff>
    </xdr:from>
    <xdr:to>
      <xdr:col>29</xdr:col>
      <xdr:colOff>555626</xdr:colOff>
      <xdr:row>103</xdr:row>
      <xdr:rowOff>225425</xdr:rowOff>
    </xdr:to>
    <xdr:pic>
      <xdr:nvPicPr>
        <xdr:cNvPr id="6" name="Afbeelding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83289" y="17744587"/>
          <a:ext cx="6282837" cy="9084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300-000008000000}"/>
            </a:ext>
          </a:extLst>
        </xdr:cNvPr>
        <xdr:cNvSpPr>
          <a:spLocks noChangeArrowheads="1"/>
        </xdr:cNvSpPr>
      </xdr:nvSpPr>
      <xdr:spPr bwMode="auto">
        <a:xfrm>
          <a:off x="19490837"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1300-000009000000}"/>
            </a:ext>
          </a:extLst>
        </xdr:cNvPr>
        <xdr:cNvSpPr>
          <a:spLocks noChangeArrowheads="1"/>
        </xdr:cNvSpPr>
      </xdr:nvSpPr>
      <xdr:spPr bwMode="auto">
        <a:xfrm>
          <a:off x="19474962"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2</xdr:row>
      <xdr:rowOff>152400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65</xdr:row>
      <xdr:rowOff>14654</xdr:rowOff>
    </xdr:from>
    <xdr:to>
      <xdr:col>20</xdr:col>
      <xdr:colOff>20760</xdr:colOff>
      <xdr:row>105</xdr:row>
      <xdr:rowOff>214924</xdr:rowOff>
    </xdr:to>
    <xdr:pic>
      <xdr:nvPicPr>
        <xdr:cNvPr id="6" name="Afbeelding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6423" y="16690731"/>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321163</xdr:colOff>
      <xdr:row>68</xdr:row>
      <xdr:rowOff>28087</xdr:rowOff>
    </xdr:from>
    <xdr:to>
      <xdr:col>29</xdr:col>
      <xdr:colOff>589817</xdr:colOff>
      <xdr:row>104</xdr:row>
      <xdr:rowOff>0</xdr:rowOff>
    </xdr:to>
    <xdr:pic>
      <xdr:nvPicPr>
        <xdr:cNvPr id="5" name="Afbeelding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15038" y="17728712"/>
          <a:ext cx="6205904" cy="911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1400-000007000000}"/>
            </a:ext>
          </a:extLst>
        </xdr:cNvPr>
        <xdr:cNvSpPr>
          <a:spLocks noChangeArrowheads="1"/>
        </xdr:cNvSpPr>
      </xdr:nvSpPr>
      <xdr:spPr bwMode="auto">
        <a:xfrm>
          <a:off x="19344298"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8" name="AutoShape 48">
          <a:hlinkClick xmlns:r="http://schemas.openxmlformats.org/officeDocument/2006/relationships" r:id="rId5"/>
          <a:extLst>
            <a:ext uri="{FF2B5EF4-FFF2-40B4-BE49-F238E27FC236}">
              <a16:creationId xmlns:a16="http://schemas.microsoft.com/office/drawing/2014/main" id="{00000000-0008-0000-1400-000008000000}"/>
            </a:ext>
          </a:extLst>
        </xdr:cNvPr>
        <xdr:cNvSpPr>
          <a:spLocks noChangeArrowheads="1"/>
        </xdr:cNvSpPr>
      </xdr:nvSpPr>
      <xdr:spPr bwMode="auto">
        <a:xfrm>
          <a:off x="19328423"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65</xdr:row>
      <xdr:rowOff>14654</xdr:rowOff>
    </xdr:from>
    <xdr:to>
      <xdr:col>20</xdr:col>
      <xdr:colOff>20760</xdr:colOff>
      <xdr:row>105</xdr:row>
      <xdr:rowOff>214924</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6423" y="16690731"/>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317500</xdr:colOff>
      <xdr:row>68</xdr:row>
      <xdr:rowOff>15875</xdr:rowOff>
    </xdr:from>
    <xdr:to>
      <xdr:col>29</xdr:col>
      <xdr:colOff>571500</xdr:colOff>
      <xdr:row>104</xdr:row>
      <xdr:rowOff>15875</xdr:rowOff>
    </xdr:to>
    <xdr:pic>
      <xdr:nvPicPr>
        <xdr:cNvPr id="6" name="Afbeelding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11375" y="17716500"/>
          <a:ext cx="6127750"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500-000008000000}"/>
            </a:ext>
          </a:extLst>
        </xdr:cNvPr>
        <xdr:cNvSpPr>
          <a:spLocks noChangeArrowheads="1"/>
        </xdr:cNvSpPr>
      </xdr:nvSpPr>
      <xdr:spPr bwMode="auto">
        <a:xfrm>
          <a:off x="19197760"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1500-000009000000}"/>
            </a:ext>
          </a:extLst>
        </xdr:cNvPr>
        <xdr:cNvSpPr>
          <a:spLocks noChangeArrowheads="1"/>
        </xdr:cNvSpPr>
      </xdr:nvSpPr>
      <xdr:spPr bwMode="auto">
        <a:xfrm>
          <a:off x="19181885"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186104</xdr:colOff>
      <xdr:row>10</xdr:row>
      <xdr:rowOff>238125</xdr:rowOff>
    </xdr:from>
    <xdr:to>
      <xdr:col>4</xdr:col>
      <xdr:colOff>1138604</xdr:colOff>
      <xdr:row>15</xdr:row>
      <xdr:rowOff>95250</xdr:rowOff>
    </xdr:to>
    <xdr:sp macro="" textlink="">
      <xdr:nvSpPr>
        <xdr:cNvPr id="4" name="AutoShape 5">
          <a:extLst>
            <a:ext uri="{FF2B5EF4-FFF2-40B4-BE49-F238E27FC236}">
              <a16:creationId xmlns:a16="http://schemas.microsoft.com/office/drawing/2014/main" id="{00000000-0008-0000-1600-000004000000}"/>
            </a:ext>
          </a:extLst>
        </xdr:cNvPr>
        <xdr:cNvSpPr>
          <a:spLocks noChangeArrowheads="1"/>
        </xdr:cNvSpPr>
      </xdr:nvSpPr>
      <xdr:spPr bwMode="auto">
        <a:xfrm>
          <a:off x="2926373" y="2729279"/>
          <a:ext cx="1567962" cy="1102702"/>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3</xdr:col>
      <xdr:colOff>200025</xdr:colOff>
      <xdr:row>12</xdr:row>
      <xdr:rowOff>85725</xdr:rowOff>
    </xdr:from>
    <xdr:to>
      <xdr:col>4</xdr:col>
      <xdr:colOff>971550</xdr:colOff>
      <xdr:row>14</xdr:row>
      <xdr:rowOff>9525</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2809875" y="2066925"/>
          <a:ext cx="1381125" cy="3429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3</xdr:col>
      <xdr:colOff>200758</xdr:colOff>
      <xdr:row>15</xdr:row>
      <xdr:rowOff>104775</xdr:rowOff>
    </xdr:from>
    <xdr:to>
      <xdr:col>4</xdr:col>
      <xdr:colOff>1153258</xdr:colOff>
      <xdr:row>20</xdr:row>
      <xdr:rowOff>66675</xdr:rowOff>
    </xdr:to>
    <xdr:sp macro="" textlink="">
      <xdr:nvSpPr>
        <xdr:cNvPr id="6" name="AutoShape 7">
          <a:extLst>
            <a:ext uri="{FF2B5EF4-FFF2-40B4-BE49-F238E27FC236}">
              <a16:creationId xmlns:a16="http://schemas.microsoft.com/office/drawing/2014/main" id="{00000000-0008-0000-1600-000006000000}"/>
            </a:ext>
          </a:extLst>
        </xdr:cNvPr>
        <xdr:cNvSpPr>
          <a:spLocks noChangeArrowheads="1"/>
        </xdr:cNvSpPr>
      </xdr:nvSpPr>
      <xdr:spPr bwMode="auto">
        <a:xfrm>
          <a:off x="2941027" y="3841506"/>
          <a:ext cx="1567962" cy="1207477"/>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3</xdr:col>
      <xdr:colOff>228600</xdr:colOff>
      <xdr:row>17</xdr:row>
      <xdr:rowOff>19050</xdr:rowOff>
    </xdr:from>
    <xdr:to>
      <xdr:col>4</xdr:col>
      <xdr:colOff>933450</xdr:colOff>
      <xdr:row>18</xdr:row>
      <xdr:rowOff>177721</xdr:rowOff>
    </xdr:to>
    <xdr:sp macro="" textlink="">
      <xdr:nvSpPr>
        <xdr:cNvPr id="7" name="Text Box 8">
          <a:extLst>
            <a:ext uri="{FF2B5EF4-FFF2-40B4-BE49-F238E27FC236}">
              <a16:creationId xmlns:a16="http://schemas.microsoft.com/office/drawing/2014/main" id="{00000000-0008-0000-1600-000007000000}"/>
            </a:ext>
          </a:extLst>
        </xdr:cNvPr>
        <xdr:cNvSpPr txBox="1">
          <a:spLocks noChangeArrowheads="1"/>
        </xdr:cNvSpPr>
      </xdr:nvSpPr>
      <xdr:spPr bwMode="auto">
        <a:xfrm>
          <a:off x="2838450" y="3057525"/>
          <a:ext cx="1314450" cy="377746"/>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3</xdr:col>
      <xdr:colOff>186104</xdr:colOff>
      <xdr:row>20</xdr:row>
      <xdr:rowOff>76200</xdr:rowOff>
    </xdr:from>
    <xdr:to>
      <xdr:col>4</xdr:col>
      <xdr:colOff>1138604</xdr:colOff>
      <xdr:row>25</xdr:row>
      <xdr:rowOff>66675</xdr:rowOff>
    </xdr:to>
    <xdr:sp macro="" textlink="">
      <xdr:nvSpPr>
        <xdr:cNvPr id="8" name="AutoShape 9">
          <a:extLst>
            <a:ext uri="{FF2B5EF4-FFF2-40B4-BE49-F238E27FC236}">
              <a16:creationId xmlns:a16="http://schemas.microsoft.com/office/drawing/2014/main" id="{00000000-0008-0000-1600-000008000000}"/>
            </a:ext>
          </a:extLst>
        </xdr:cNvPr>
        <xdr:cNvSpPr>
          <a:spLocks noChangeArrowheads="1"/>
        </xdr:cNvSpPr>
      </xdr:nvSpPr>
      <xdr:spPr bwMode="auto">
        <a:xfrm>
          <a:off x="2926373" y="5058508"/>
          <a:ext cx="1567962" cy="1177436"/>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3</xdr:col>
      <xdr:colOff>228600</xdr:colOff>
      <xdr:row>22</xdr:row>
      <xdr:rowOff>9525</xdr:rowOff>
    </xdr:from>
    <xdr:to>
      <xdr:col>4</xdr:col>
      <xdr:colOff>1019175</xdr:colOff>
      <xdr:row>23</xdr:row>
      <xdr:rowOff>228600</xdr:rowOff>
    </xdr:to>
    <xdr:sp macro="" textlink="">
      <xdr:nvSpPr>
        <xdr:cNvPr id="9" name="Text Box 10">
          <a:extLst>
            <a:ext uri="{FF2B5EF4-FFF2-40B4-BE49-F238E27FC236}">
              <a16:creationId xmlns:a16="http://schemas.microsoft.com/office/drawing/2014/main" id="{00000000-0008-0000-1600-000009000000}"/>
            </a:ext>
          </a:extLst>
        </xdr:cNvPr>
        <xdr:cNvSpPr txBox="1">
          <a:spLocks noChangeArrowheads="1"/>
        </xdr:cNvSpPr>
      </xdr:nvSpPr>
      <xdr:spPr bwMode="auto">
        <a:xfrm>
          <a:off x="2838450" y="4114800"/>
          <a:ext cx="1400175" cy="40005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3</xdr:col>
      <xdr:colOff>171450</xdr:colOff>
      <xdr:row>25</xdr:row>
      <xdr:rowOff>66675</xdr:rowOff>
    </xdr:from>
    <xdr:to>
      <xdr:col>4</xdr:col>
      <xdr:colOff>1123950</xdr:colOff>
      <xdr:row>30</xdr:row>
      <xdr:rowOff>57150</xdr:rowOff>
    </xdr:to>
    <xdr:sp macro="" textlink="">
      <xdr:nvSpPr>
        <xdr:cNvPr id="10" name="AutoShape 11">
          <a:extLst>
            <a:ext uri="{FF2B5EF4-FFF2-40B4-BE49-F238E27FC236}">
              <a16:creationId xmlns:a16="http://schemas.microsoft.com/office/drawing/2014/main" id="{00000000-0008-0000-1600-00000A000000}"/>
            </a:ext>
          </a:extLst>
        </xdr:cNvPr>
        <xdr:cNvSpPr>
          <a:spLocks noChangeArrowheads="1"/>
        </xdr:cNvSpPr>
      </xdr:nvSpPr>
      <xdr:spPr bwMode="auto">
        <a:xfrm>
          <a:off x="2781300" y="4791075"/>
          <a:ext cx="1562100" cy="109537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3</xdr:col>
      <xdr:colOff>190500</xdr:colOff>
      <xdr:row>27</xdr:row>
      <xdr:rowOff>0</xdr:rowOff>
    </xdr:from>
    <xdr:to>
      <xdr:col>5</xdr:col>
      <xdr:colOff>0</xdr:colOff>
      <xdr:row>28</xdr:row>
      <xdr:rowOff>142875</xdr:rowOff>
    </xdr:to>
    <xdr:sp macro="" textlink="">
      <xdr:nvSpPr>
        <xdr:cNvPr id="11" name="Text Box 12">
          <a:extLst>
            <a:ext uri="{FF2B5EF4-FFF2-40B4-BE49-F238E27FC236}">
              <a16:creationId xmlns:a16="http://schemas.microsoft.com/office/drawing/2014/main" id="{00000000-0008-0000-1600-00000B000000}"/>
            </a:ext>
          </a:extLst>
        </xdr:cNvPr>
        <xdr:cNvSpPr txBox="1">
          <a:spLocks noChangeArrowheads="1"/>
        </xdr:cNvSpPr>
      </xdr:nvSpPr>
      <xdr:spPr bwMode="auto">
        <a:xfrm>
          <a:off x="2800350" y="5153025"/>
          <a:ext cx="1619250" cy="3429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3</xdr:col>
      <xdr:colOff>259374</xdr:colOff>
      <xdr:row>30</xdr:row>
      <xdr:rowOff>76200</xdr:rowOff>
    </xdr:from>
    <xdr:to>
      <xdr:col>5</xdr:col>
      <xdr:colOff>10259</xdr:colOff>
      <xdr:row>35</xdr:row>
      <xdr:rowOff>66675</xdr:rowOff>
    </xdr:to>
    <xdr:sp macro="" textlink="">
      <xdr:nvSpPr>
        <xdr:cNvPr id="12" name="AutoShape 13">
          <a:extLst>
            <a:ext uri="{FF2B5EF4-FFF2-40B4-BE49-F238E27FC236}">
              <a16:creationId xmlns:a16="http://schemas.microsoft.com/office/drawing/2014/main" id="{00000000-0008-0000-1600-00000C000000}"/>
            </a:ext>
          </a:extLst>
        </xdr:cNvPr>
        <xdr:cNvSpPr>
          <a:spLocks noChangeArrowheads="1"/>
        </xdr:cNvSpPr>
      </xdr:nvSpPr>
      <xdr:spPr bwMode="auto">
        <a:xfrm>
          <a:off x="2999643" y="7447085"/>
          <a:ext cx="1567962" cy="1236052"/>
        </a:xfrm>
        <a:prstGeom prst="rightArrow">
          <a:avLst>
            <a:gd name="adj1" fmla="val 50000"/>
            <a:gd name="adj2" fmla="val 41414"/>
          </a:avLst>
        </a:prstGeom>
        <a:solidFill>
          <a:srgbClr val="FFFFFF"/>
        </a:solidFill>
        <a:ln w="9525" algn="ctr">
          <a:solidFill>
            <a:srgbClr val="000000"/>
          </a:solidFill>
          <a:miter lim="800000"/>
          <a:headEnd/>
          <a:tailEnd/>
        </a:ln>
      </xdr:spPr>
    </xdr:sp>
    <xdr:clientData/>
  </xdr:twoCellAnchor>
  <xdr:twoCellAnchor>
    <xdr:from>
      <xdr:col>3</xdr:col>
      <xdr:colOff>228600</xdr:colOff>
      <xdr:row>31</xdr:row>
      <xdr:rowOff>161925</xdr:rowOff>
    </xdr:from>
    <xdr:to>
      <xdr:col>4</xdr:col>
      <xdr:colOff>1095375</xdr:colOff>
      <xdr:row>34</xdr:row>
      <xdr:rowOff>19050</xdr:rowOff>
    </xdr:to>
    <xdr:sp macro="" textlink="">
      <xdr:nvSpPr>
        <xdr:cNvPr id="13" name="Text Box 14">
          <a:extLst>
            <a:ext uri="{FF2B5EF4-FFF2-40B4-BE49-F238E27FC236}">
              <a16:creationId xmlns:a16="http://schemas.microsoft.com/office/drawing/2014/main" id="{00000000-0008-0000-1600-00000D000000}"/>
            </a:ext>
          </a:extLst>
        </xdr:cNvPr>
        <xdr:cNvSpPr txBox="1">
          <a:spLocks noChangeArrowheads="1"/>
        </xdr:cNvSpPr>
      </xdr:nvSpPr>
      <xdr:spPr bwMode="auto">
        <a:xfrm>
          <a:off x="2838450" y="6181725"/>
          <a:ext cx="1476375" cy="4286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BASIS = E6</a:t>
          </a:r>
          <a:endParaRPr lang="nl-NL"/>
        </a:p>
      </xdr:txBody>
    </xdr:sp>
    <xdr:clientData/>
  </xdr:twoCellAnchor>
  <xdr:twoCellAnchor>
    <xdr:from>
      <xdr:col>3</xdr:col>
      <xdr:colOff>186104</xdr:colOff>
      <xdr:row>6</xdr:row>
      <xdr:rowOff>85725</xdr:rowOff>
    </xdr:from>
    <xdr:to>
      <xdr:col>4</xdr:col>
      <xdr:colOff>1138604</xdr:colOff>
      <xdr:row>10</xdr:row>
      <xdr:rowOff>228600</xdr:rowOff>
    </xdr:to>
    <xdr:sp macro="" textlink="">
      <xdr:nvSpPr>
        <xdr:cNvPr id="14" name="AutoShape 15">
          <a:extLst>
            <a:ext uri="{FF2B5EF4-FFF2-40B4-BE49-F238E27FC236}">
              <a16:creationId xmlns:a16="http://schemas.microsoft.com/office/drawing/2014/main" id="{00000000-0008-0000-1600-00000E000000}"/>
            </a:ext>
          </a:extLst>
        </xdr:cNvPr>
        <xdr:cNvSpPr>
          <a:spLocks noChangeArrowheads="1"/>
        </xdr:cNvSpPr>
      </xdr:nvSpPr>
      <xdr:spPr bwMode="auto">
        <a:xfrm>
          <a:off x="2926373" y="1580417"/>
          <a:ext cx="1567962" cy="1139337"/>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3</xdr:col>
      <xdr:colOff>209550</xdr:colOff>
      <xdr:row>7</xdr:row>
      <xdr:rowOff>180975</xdr:rowOff>
    </xdr:from>
    <xdr:to>
      <xdr:col>4</xdr:col>
      <xdr:colOff>981075</xdr:colOff>
      <xdr:row>9</xdr:row>
      <xdr:rowOff>133350</xdr:rowOff>
    </xdr:to>
    <xdr:sp macro="" textlink="">
      <xdr:nvSpPr>
        <xdr:cNvPr id="15" name="Text Box 16">
          <a:extLst>
            <a:ext uri="{FF2B5EF4-FFF2-40B4-BE49-F238E27FC236}">
              <a16:creationId xmlns:a16="http://schemas.microsoft.com/office/drawing/2014/main" id="{00000000-0008-0000-1600-00000F000000}"/>
            </a:ext>
          </a:extLst>
        </xdr:cNvPr>
        <xdr:cNvSpPr txBox="1">
          <a:spLocks noChangeArrowheads="1"/>
        </xdr:cNvSpPr>
      </xdr:nvSpPr>
      <xdr:spPr bwMode="auto">
        <a:xfrm>
          <a:off x="2819400" y="1009650"/>
          <a:ext cx="1381125" cy="4286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21" name="PIJL-OMHOOG 20">
          <a:extLst>
            <a:ext uri="{FF2B5EF4-FFF2-40B4-BE49-F238E27FC236}">
              <a16:creationId xmlns:a16="http://schemas.microsoft.com/office/drawing/2014/main" id="{00000000-0008-0000-1600-000015000000}"/>
            </a:ext>
          </a:extLst>
        </xdr:cNvPr>
        <xdr:cNvSpPr/>
      </xdr:nvSpPr>
      <xdr:spPr bwMode="auto">
        <a:xfrm>
          <a:off x="4891454" y="1318847"/>
          <a:ext cx="772746" cy="3004038"/>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20" name="PIJL-OMHOOG 19">
          <a:extLst>
            <a:ext uri="{FF2B5EF4-FFF2-40B4-BE49-F238E27FC236}">
              <a16:creationId xmlns:a16="http://schemas.microsoft.com/office/drawing/2014/main" id="{00000000-0008-0000-1600-000014000000}"/>
            </a:ext>
          </a:extLst>
        </xdr:cNvPr>
        <xdr:cNvSpPr/>
      </xdr:nvSpPr>
      <xdr:spPr bwMode="auto">
        <a:xfrm>
          <a:off x="4889500" y="3868615"/>
          <a:ext cx="772746" cy="3443654"/>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22" name="PIJL-OMHOOG 21">
          <a:extLst>
            <a:ext uri="{FF2B5EF4-FFF2-40B4-BE49-F238E27FC236}">
              <a16:creationId xmlns:a16="http://schemas.microsoft.com/office/drawing/2014/main" id="{00000000-0008-0000-1600-000016000000}"/>
            </a:ext>
          </a:extLst>
        </xdr:cNvPr>
        <xdr:cNvSpPr/>
      </xdr:nvSpPr>
      <xdr:spPr bwMode="auto">
        <a:xfrm>
          <a:off x="4874846" y="6949831"/>
          <a:ext cx="772746" cy="3029437"/>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6</xdr:col>
      <xdr:colOff>586155</xdr:colOff>
      <xdr:row>5</xdr:row>
      <xdr:rowOff>13433</xdr:rowOff>
    </xdr:from>
    <xdr:to>
      <xdr:col>29</xdr:col>
      <xdr:colOff>584933</xdr:colOff>
      <xdr:row>40</xdr:row>
      <xdr:rowOff>42741</xdr:rowOff>
    </xdr:to>
    <xdr:graphicFrame macro="">
      <xdr:nvGraphicFramePr>
        <xdr:cNvPr id="16" name="Grafiek 15">
          <a:extLst>
            <a:ext uri="{FF2B5EF4-FFF2-40B4-BE49-F238E27FC236}">
              <a16:creationId xmlns:a16="http://schemas.microsoft.com/office/drawing/2014/main" id="{00000000-0008-0000-1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23" name="AutoShape 48">
          <a:hlinkClick xmlns:r="http://schemas.openxmlformats.org/officeDocument/2006/relationships" r:id="rId3"/>
          <a:extLst>
            <a:ext uri="{FF2B5EF4-FFF2-40B4-BE49-F238E27FC236}">
              <a16:creationId xmlns:a16="http://schemas.microsoft.com/office/drawing/2014/main" id="{00000000-0008-0000-1600-000017000000}"/>
            </a:ext>
          </a:extLst>
        </xdr:cNvPr>
        <xdr:cNvSpPr>
          <a:spLocks noChangeArrowheads="1"/>
        </xdr:cNvSpPr>
      </xdr:nvSpPr>
      <xdr:spPr bwMode="auto">
        <a:xfrm>
          <a:off x="20621625" y="2351367"/>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4" name="AutoShape 48">
          <a:hlinkClick xmlns:r="http://schemas.openxmlformats.org/officeDocument/2006/relationships" r:id="rId4"/>
          <a:extLst>
            <a:ext uri="{FF2B5EF4-FFF2-40B4-BE49-F238E27FC236}">
              <a16:creationId xmlns:a16="http://schemas.microsoft.com/office/drawing/2014/main" id="{00000000-0008-0000-1600-000018000000}"/>
            </a:ext>
          </a:extLst>
        </xdr:cNvPr>
        <xdr:cNvSpPr>
          <a:spLocks noChangeArrowheads="1"/>
        </xdr:cNvSpPr>
      </xdr:nvSpPr>
      <xdr:spPr bwMode="auto">
        <a:xfrm>
          <a:off x="20605750" y="1381125"/>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7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28086</xdr:rowOff>
    </xdr:from>
    <xdr:to>
      <xdr:col>28</xdr:col>
      <xdr:colOff>614241</xdr:colOff>
      <xdr:row>40</xdr:row>
      <xdr:rowOff>57394</xdr:rowOff>
    </xdr:to>
    <xdr:graphicFrame macro="">
      <xdr:nvGraphicFramePr>
        <xdr:cNvPr id="18" name="Grafiek 17">
          <a:extLst>
            <a:ext uri="{FF2B5EF4-FFF2-40B4-BE49-F238E27FC236}">
              <a16:creationId xmlns:a16="http://schemas.microsoft.com/office/drawing/2014/main" id="{00000000-0008-0000-1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15875</xdr:colOff>
      <xdr:row>8</xdr:row>
      <xdr:rowOff>208242</xdr:rowOff>
    </xdr:from>
    <xdr:to>
      <xdr:col>32</xdr:col>
      <xdr:colOff>79375</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700-000013000000}"/>
            </a:ext>
          </a:extLst>
        </xdr:cNvPr>
        <xdr:cNvSpPr>
          <a:spLocks noChangeArrowheads="1"/>
        </xdr:cNvSpPr>
      </xdr:nvSpPr>
      <xdr:spPr bwMode="auto">
        <a:xfrm>
          <a:off x="20599400" y="2418042"/>
          <a:ext cx="1282700" cy="7569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30</xdr:col>
      <xdr:colOff>0</xdr:colOff>
      <xdr:row>5</xdr:row>
      <xdr:rowOff>0</xdr:rowOff>
    </xdr:from>
    <xdr:to>
      <xdr:col>32</xdr:col>
      <xdr:colOff>63500</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700-000014000000}"/>
            </a:ext>
          </a:extLst>
        </xdr:cNvPr>
        <xdr:cNvSpPr>
          <a:spLocks noChangeArrowheads="1"/>
        </xdr:cNvSpPr>
      </xdr:nvSpPr>
      <xdr:spPr bwMode="auto">
        <a:xfrm>
          <a:off x="20583525" y="1466850"/>
          <a:ext cx="1282700" cy="78244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7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7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7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7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7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7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7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7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7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7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7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11</xdr:row>
      <xdr:rowOff>75826</xdr:rowOff>
    </xdr:from>
    <xdr:to>
      <xdr:col>20</xdr:col>
      <xdr:colOff>9524</xdr:colOff>
      <xdr:row>39</xdr:row>
      <xdr:rowOff>142875</xdr:rowOff>
    </xdr:to>
    <xdr:graphicFrame macro="">
      <xdr:nvGraphicFramePr>
        <xdr:cNvPr id="2" name="Chart 5">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39221</xdr:colOff>
      <xdr:row>10</xdr:row>
      <xdr:rowOff>257176</xdr:rowOff>
    </xdr:from>
    <xdr:to>
      <xdr:col>21</xdr:col>
      <xdr:colOff>370355</xdr:colOff>
      <xdr:row>38</xdr:row>
      <xdr:rowOff>209551</xdr:rowOff>
    </xdr:to>
    <xdr:graphicFrame macro="">
      <xdr:nvGraphicFramePr>
        <xdr:cNvPr id="4" name="Grafiek 9">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260165</xdr:colOff>
      <xdr:row>0</xdr:row>
      <xdr:rowOff>356159</xdr:rowOff>
    </xdr:from>
    <xdr:to>
      <xdr:col>13</xdr:col>
      <xdr:colOff>24653</xdr:colOff>
      <xdr:row>1</xdr:row>
      <xdr:rowOff>266700</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800-000005000000}"/>
            </a:ext>
          </a:extLst>
        </xdr:cNvPr>
        <xdr:cNvSpPr>
          <a:spLocks noChangeArrowheads="1"/>
        </xdr:cNvSpPr>
      </xdr:nvSpPr>
      <xdr:spPr bwMode="auto">
        <a:xfrm>
          <a:off x="4470215" y="356159"/>
          <a:ext cx="907488" cy="472516"/>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10</xdr:col>
      <xdr:colOff>157442</xdr:colOff>
      <xdr:row>1</xdr:row>
      <xdr:rowOff>262206</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800-000006000000}"/>
            </a:ext>
          </a:extLst>
        </xdr:cNvPr>
        <xdr:cNvSpPr>
          <a:spLocks noChangeArrowheads="1"/>
        </xdr:cNvSpPr>
      </xdr:nvSpPr>
      <xdr:spPr bwMode="auto">
        <a:xfrm>
          <a:off x="3455522" y="344953"/>
          <a:ext cx="911970" cy="479228"/>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6</xdr:row>
      <xdr:rowOff>32871</xdr:rowOff>
    </xdr:from>
    <xdr:to>
      <xdr:col>13</xdr:col>
      <xdr:colOff>344581</xdr:colOff>
      <xdr:row>8</xdr:row>
      <xdr:rowOff>174625</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900-000006000000}"/>
            </a:ext>
          </a:extLst>
        </xdr:cNvPr>
        <xdr:cNvSpPr>
          <a:spLocks noChangeArrowheads="1"/>
        </xdr:cNvSpPr>
      </xdr:nvSpPr>
      <xdr:spPr bwMode="auto">
        <a:xfrm>
          <a:off x="7315200" y="985371"/>
          <a:ext cx="954181" cy="4402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12</xdr:col>
      <xdr:colOff>0</xdr:colOff>
      <xdr:row>3</xdr:row>
      <xdr:rowOff>0</xdr:rowOff>
    </xdr:from>
    <xdr:to>
      <xdr:col>13</xdr:col>
      <xdr:colOff>344581</xdr:colOff>
      <xdr:row>5</xdr:row>
      <xdr:rowOff>141007</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900-000007000000}"/>
            </a:ext>
          </a:extLst>
        </xdr:cNvPr>
        <xdr:cNvSpPr>
          <a:spLocks noChangeArrowheads="1"/>
        </xdr:cNvSpPr>
      </xdr:nvSpPr>
      <xdr:spPr bwMode="auto">
        <a:xfrm>
          <a:off x="7315200" y="476250"/>
          <a:ext cx="954181" cy="4585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15541625" y="11226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B00-000004000000}"/>
            </a:ext>
          </a:extLst>
        </xdr:cNvPr>
        <xdr:cNvSpPr>
          <a:spLocks noChangeArrowheads="1"/>
        </xdr:cNvSpPr>
      </xdr:nvSpPr>
      <xdr:spPr bwMode="auto">
        <a:xfrm>
          <a:off x="15541625" y="511175"/>
          <a:ext cx="116223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B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B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B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9</xdr:col>
      <xdr:colOff>0</xdr:colOff>
      <xdr:row>23</xdr:row>
      <xdr:rowOff>6350</xdr:rowOff>
    </xdr:to>
    <xdr:graphicFrame macro="">
      <xdr:nvGraphicFramePr>
        <xdr:cNvPr id="8" name="Chart 5">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D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D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D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D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D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9</xdr:col>
      <xdr:colOff>0</xdr:colOff>
      <xdr:row>23</xdr:row>
      <xdr:rowOff>6350</xdr:rowOff>
    </xdr:to>
    <xdr:graphicFrame macro="">
      <xdr:nvGraphicFramePr>
        <xdr:cNvPr id="8" name="Chart 5">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F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F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F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F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F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9</xdr:col>
      <xdr:colOff>0</xdr:colOff>
      <xdr:row>23</xdr:row>
      <xdr:rowOff>6350</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0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0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0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0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9</xdr:col>
      <xdr:colOff>0</xdr:colOff>
      <xdr:row>23</xdr:row>
      <xdr:rowOff>6350</xdr:rowOff>
    </xdr:to>
    <xdr:graphicFrame macro="">
      <xdr:nvGraphicFramePr>
        <xdr:cNvPr id="7" name="Chart 5">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7</xdr:row>
      <xdr:rowOff>0</xdr:rowOff>
    </xdr:from>
    <xdr:to>
      <xdr:col>21</xdr:col>
      <xdr:colOff>587188</xdr:colOff>
      <xdr:row>10</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100-000041000000}"/>
            </a:ext>
          </a:extLst>
        </xdr:cNvPr>
        <xdr:cNvSpPr>
          <a:spLocks noChangeArrowheads="1"/>
        </xdr:cNvSpPr>
      </xdr:nvSpPr>
      <xdr:spPr bwMode="auto">
        <a:xfrm>
          <a:off x="9382125" y="1504950"/>
          <a:ext cx="1196788" cy="628650"/>
        </a:xfrm>
        <a:prstGeom prst="actionButtonBlank">
          <a:avLst/>
        </a:prstGeom>
        <a:solidFill>
          <a:srgbClr val="FF66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11</xdr:row>
      <xdr:rowOff>0</xdr:rowOff>
    </xdr:from>
    <xdr:to>
      <xdr:col>21</xdr:col>
      <xdr:colOff>587188</xdr:colOff>
      <xdr:row>14</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100-000043000000}"/>
            </a:ext>
          </a:extLst>
        </xdr:cNvPr>
        <xdr:cNvSpPr>
          <a:spLocks noChangeArrowheads="1"/>
        </xdr:cNvSpPr>
      </xdr:nvSpPr>
      <xdr:spPr bwMode="auto">
        <a:xfrm>
          <a:off x="9382125" y="2152650"/>
          <a:ext cx="1196788" cy="628650"/>
        </a:xfrm>
        <a:prstGeom prst="actionButtonBlank">
          <a:avLst/>
        </a:prstGeom>
        <a:solidFill>
          <a:srgbClr val="FF66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15</xdr:row>
      <xdr:rowOff>0</xdr:rowOff>
    </xdr:from>
    <xdr:to>
      <xdr:col>21</xdr:col>
      <xdr:colOff>587188</xdr:colOff>
      <xdr:row>18</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100-000045000000}"/>
            </a:ext>
          </a:extLst>
        </xdr:cNvPr>
        <xdr:cNvSpPr>
          <a:spLocks noChangeArrowheads="1"/>
        </xdr:cNvSpPr>
      </xdr:nvSpPr>
      <xdr:spPr bwMode="auto">
        <a:xfrm>
          <a:off x="9382125" y="2800350"/>
          <a:ext cx="1196788" cy="628650"/>
        </a:xfrm>
        <a:prstGeom prst="actionButtonBlank">
          <a:avLst/>
        </a:prstGeom>
        <a:solidFill>
          <a:srgbClr val="FF66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0</xdr:colOff>
      <xdr:row>7</xdr:row>
      <xdr:rowOff>19050</xdr:rowOff>
    </xdr:from>
    <xdr:to>
      <xdr:col>9</xdr:col>
      <xdr:colOff>584200</xdr:colOff>
      <xdr:row>11</xdr:row>
      <xdr:rowOff>6350</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100-00004B000000}"/>
            </a:ext>
          </a:extLst>
        </xdr:cNvPr>
        <xdr:cNvSpPr>
          <a:spLocks noChangeArrowheads="1"/>
        </xdr:cNvSpPr>
      </xdr:nvSpPr>
      <xdr:spPr bwMode="auto">
        <a:xfrm>
          <a:off x="4889500" y="1193800"/>
          <a:ext cx="1181100" cy="62230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0</xdr:colOff>
      <xdr:row>11</xdr:row>
      <xdr:rowOff>12700</xdr:rowOff>
    </xdr:from>
    <xdr:to>
      <xdr:col>9</xdr:col>
      <xdr:colOff>584200</xdr:colOff>
      <xdr:row>14</xdr:row>
      <xdr:rowOff>152400</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100-00004C000000}"/>
            </a:ext>
          </a:extLst>
        </xdr:cNvPr>
        <xdr:cNvSpPr>
          <a:spLocks noChangeArrowheads="1"/>
        </xdr:cNvSpPr>
      </xdr:nvSpPr>
      <xdr:spPr bwMode="auto">
        <a:xfrm>
          <a:off x="4889500" y="1822450"/>
          <a:ext cx="1181100" cy="6159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523875</xdr:colOff>
      <xdr:row>6</xdr:row>
      <xdr:rowOff>66674</xdr:rowOff>
    </xdr:from>
    <xdr:to>
      <xdr:col>12</xdr:col>
      <xdr:colOff>76200</xdr:colOff>
      <xdr:row>31</xdr:row>
      <xdr:rowOff>85725</xdr:rowOff>
    </xdr:to>
    <xdr:sp macro="" textlink="">
      <xdr:nvSpPr>
        <xdr:cNvPr id="6" name="Rechthoek 5">
          <a:extLst>
            <a:ext uri="{FF2B5EF4-FFF2-40B4-BE49-F238E27FC236}">
              <a16:creationId xmlns:a16="http://schemas.microsoft.com/office/drawing/2014/main" id="{00000000-0008-0000-2100-000006000000}"/>
            </a:ext>
          </a:extLst>
        </xdr:cNvPr>
        <xdr:cNvSpPr/>
      </xdr:nvSpPr>
      <xdr:spPr bwMode="auto">
        <a:xfrm>
          <a:off x="4572000" y="1085849"/>
          <a:ext cx="2447925" cy="4067176"/>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492126</xdr:colOff>
      <xdr:row>6</xdr:row>
      <xdr:rowOff>66674</xdr:rowOff>
    </xdr:from>
    <xdr:to>
      <xdr:col>17</xdr:col>
      <xdr:colOff>101600</xdr:colOff>
      <xdr:row>31</xdr:row>
      <xdr:rowOff>85724</xdr:rowOff>
    </xdr:to>
    <xdr:sp macro="" textlink="">
      <xdr:nvSpPr>
        <xdr:cNvPr id="99" name="Rechthoek 98">
          <a:extLst>
            <a:ext uri="{FF2B5EF4-FFF2-40B4-BE49-F238E27FC236}">
              <a16:creationId xmlns:a16="http://schemas.microsoft.com/office/drawing/2014/main" id="{00000000-0008-0000-2100-000063000000}"/>
            </a:ext>
          </a:extLst>
        </xdr:cNvPr>
        <xdr:cNvSpPr/>
      </xdr:nvSpPr>
      <xdr:spPr bwMode="auto">
        <a:xfrm>
          <a:off x="7769226" y="1082674"/>
          <a:ext cx="2593974" cy="3987800"/>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476250</xdr:colOff>
      <xdr:row>6</xdr:row>
      <xdr:rowOff>66674</xdr:rowOff>
    </xdr:from>
    <xdr:to>
      <xdr:col>22</xdr:col>
      <xdr:colOff>95249</xdr:colOff>
      <xdr:row>31</xdr:row>
      <xdr:rowOff>85724</xdr:rowOff>
    </xdr:to>
    <xdr:sp macro="" textlink="">
      <xdr:nvSpPr>
        <xdr:cNvPr id="100" name="Rechthoek 99">
          <a:extLst>
            <a:ext uri="{FF2B5EF4-FFF2-40B4-BE49-F238E27FC236}">
              <a16:creationId xmlns:a16="http://schemas.microsoft.com/office/drawing/2014/main" id="{00000000-0008-0000-2100-000064000000}"/>
            </a:ext>
          </a:extLst>
        </xdr:cNvPr>
        <xdr:cNvSpPr/>
      </xdr:nvSpPr>
      <xdr:spPr bwMode="auto">
        <a:xfrm>
          <a:off x="10277475" y="1085849"/>
          <a:ext cx="2476499" cy="4067175"/>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7</xdr:row>
      <xdr:rowOff>0</xdr:rowOff>
    </xdr:from>
    <xdr:to>
      <xdr:col>14</xdr:col>
      <xdr:colOff>587188</xdr:colOff>
      <xdr:row>10</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1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11</xdr:row>
      <xdr:rowOff>0</xdr:rowOff>
    </xdr:from>
    <xdr:to>
      <xdr:col>14</xdr:col>
      <xdr:colOff>587188</xdr:colOff>
      <xdr:row>14</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1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7</xdr:row>
      <xdr:rowOff>0</xdr:rowOff>
    </xdr:from>
    <xdr:to>
      <xdr:col>16</xdr:col>
      <xdr:colOff>587188</xdr:colOff>
      <xdr:row>10</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1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priode</a:t>
          </a:r>
          <a:endParaRPr lang="nl-NL" sz="1100"/>
        </a:p>
      </xdr:txBody>
    </xdr:sp>
    <xdr:clientData/>
  </xdr:twoCellAnchor>
  <xdr:twoCellAnchor>
    <xdr:from>
      <xdr:col>15</xdr:col>
      <xdr:colOff>0</xdr:colOff>
      <xdr:row>11</xdr:row>
      <xdr:rowOff>0</xdr:rowOff>
    </xdr:from>
    <xdr:to>
      <xdr:col>16</xdr:col>
      <xdr:colOff>587188</xdr:colOff>
      <xdr:row>14</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1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7</xdr:row>
      <xdr:rowOff>0</xdr:rowOff>
    </xdr:from>
    <xdr:to>
      <xdr:col>19</xdr:col>
      <xdr:colOff>587188</xdr:colOff>
      <xdr:row>10</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1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11</xdr:row>
      <xdr:rowOff>0</xdr:rowOff>
    </xdr:from>
    <xdr:to>
      <xdr:col>19</xdr:col>
      <xdr:colOff>587188</xdr:colOff>
      <xdr:row>14</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1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15</xdr:row>
      <xdr:rowOff>0</xdr:rowOff>
    </xdr:from>
    <xdr:to>
      <xdr:col>16</xdr:col>
      <xdr:colOff>587188</xdr:colOff>
      <xdr:row>18</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1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23</xdr:row>
      <xdr:rowOff>0</xdr:rowOff>
    </xdr:from>
    <xdr:to>
      <xdr:col>16</xdr:col>
      <xdr:colOff>587188</xdr:colOff>
      <xdr:row>26</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100-000072000000}"/>
            </a:ext>
          </a:extLst>
        </xdr:cNvPr>
        <xdr:cNvSpPr>
          <a:spLocks noChangeArrowheads="1"/>
        </xdr:cNvSpPr>
      </xdr:nvSpPr>
      <xdr:spPr bwMode="auto">
        <a:xfrm>
          <a:off x="6067425" y="3990975"/>
          <a:ext cx="1196788" cy="628650"/>
        </a:xfrm>
        <a:prstGeom prst="actionButtonBlank">
          <a:avLst/>
        </a:prstGeom>
        <a:solidFill>
          <a:srgbClr val="99FF66"/>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27</xdr:row>
      <xdr:rowOff>0</xdr:rowOff>
    </xdr:from>
    <xdr:to>
      <xdr:col>16</xdr:col>
      <xdr:colOff>587188</xdr:colOff>
      <xdr:row>30</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100-000074000000}"/>
            </a:ext>
          </a:extLst>
        </xdr:cNvPr>
        <xdr:cNvSpPr>
          <a:spLocks noChangeArrowheads="1"/>
        </xdr:cNvSpPr>
      </xdr:nvSpPr>
      <xdr:spPr bwMode="auto">
        <a:xfrm>
          <a:off x="6067425" y="4638675"/>
          <a:ext cx="1196788" cy="628650"/>
        </a:xfrm>
        <a:prstGeom prst="actionButtonBlank">
          <a:avLst/>
        </a:prstGeom>
        <a:solidFill>
          <a:srgbClr val="99FF66"/>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23</xdr:row>
      <xdr:rowOff>0</xdr:rowOff>
    </xdr:from>
    <xdr:to>
      <xdr:col>21</xdr:col>
      <xdr:colOff>587188</xdr:colOff>
      <xdr:row>26</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1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27</xdr:row>
      <xdr:rowOff>0</xdr:rowOff>
    </xdr:from>
    <xdr:to>
      <xdr:col>21</xdr:col>
      <xdr:colOff>587188</xdr:colOff>
      <xdr:row>30</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1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19</xdr:row>
      <xdr:rowOff>0</xdr:rowOff>
    </xdr:from>
    <xdr:to>
      <xdr:col>14</xdr:col>
      <xdr:colOff>587188</xdr:colOff>
      <xdr:row>22</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100-00007A000000}"/>
            </a:ext>
          </a:extLst>
        </xdr:cNvPr>
        <xdr:cNvSpPr>
          <a:spLocks noChangeArrowheads="1"/>
        </xdr:cNvSpPr>
      </xdr:nvSpPr>
      <xdr:spPr bwMode="auto">
        <a:xfrm>
          <a:off x="4848225" y="3343275"/>
          <a:ext cx="1196788" cy="628650"/>
        </a:xfrm>
        <a:prstGeom prst="actionButtonBlank">
          <a:avLst/>
        </a:prstGeom>
        <a:solidFill>
          <a:srgbClr val="99FF66"/>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23</xdr:row>
      <xdr:rowOff>0</xdr:rowOff>
    </xdr:from>
    <xdr:to>
      <xdr:col>14</xdr:col>
      <xdr:colOff>587188</xdr:colOff>
      <xdr:row>26</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100-00007B000000}"/>
            </a:ext>
          </a:extLst>
        </xdr:cNvPr>
        <xdr:cNvSpPr>
          <a:spLocks noChangeArrowheads="1"/>
        </xdr:cNvSpPr>
      </xdr:nvSpPr>
      <xdr:spPr bwMode="auto">
        <a:xfrm>
          <a:off x="4848225" y="3990975"/>
          <a:ext cx="1196788" cy="628650"/>
        </a:xfrm>
        <a:prstGeom prst="actionButtonBlank">
          <a:avLst/>
        </a:prstGeom>
        <a:solidFill>
          <a:srgbClr val="99FF66"/>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19</xdr:row>
      <xdr:rowOff>0</xdr:rowOff>
    </xdr:from>
    <xdr:to>
      <xdr:col>19</xdr:col>
      <xdr:colOff>587188</xdr:colOff>
      <xdr:row>22</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1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23</xdr:row>
      <xdr:rowOff>0</xdr:rowOff>
    </xdr:from>
    <xdr:to>
      <xdr:col>19</xdr:col>
      <xdr:colOff>587188</xdr:colOff>
      <xdr:row>26</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1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27</xdr:row>
      <xdr:rowOff>0</xdr:rowOff>
    </xdr:from>
    <xdr:to>
      <xdr:col>14</xdr:col>
      <xdr:colOff>587188</xdr:colOff>
      <xdr:row>30</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100-00007E000000}"/>
            </a:ext>
          </a:extLst>
        </xdr:cNvPr>
        <xdr:cNvSpPr>
          <a:spLocks noChangeArrowheads="1"/>
        </xdr:cNvSpPr>
      </xdr:nvSpPr>
      <xdr:spPr bwMode="auto">
        <a:xfrm>
          <a:off x="4848225" y="4638675"/>
          <a:ext cx="1196788" cy="628650"/>
        </a:xfrm>
        <a:prstGeom prst="actionButtonBlank">
          <a:avLst/>
        </a:prstGeom>
        <a:solidFill>
          <a:srgbClr val="99FF66"/>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27</xdr:row>
      <xdr:rowOff>0</xdr:rowOff>
    </xdr:from>
    <xdr:to>
      <xdr:col>19</xdr:col>
      <xdr:colOff>587188</xdr:colOff>
      <xdr:row>30</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1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15</xdr:row>
      <xdr:rowOff>0</xdr:rowOff>
    </xdr:from>
    <xdr:to>
      <xdr:col>14</xdr:col>
      <xdr:colOff>587188</xdr:colOff>
      <xdr:row>18</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1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19</xdr:row>
      <xdr:rowOff>0</xdr:rowOff>
    </xdr:from>
    <xdr:to>
      <xdr:col>16</xdr:col>
      <xdr:colOff>587188</xdr:colOff>
      <xdr:row>22</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1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15</xdr:row>
      <xdr:rowOff>0</xdr:rowOff>
    </xdr:from>
    <xdr:to>
      <xdr:col>19</xdr:col>
      <xdr:colOff>587188</xdr:colOff>
      <xdr:row>18</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1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schoolweging </a:t>
          </a:r>
          <a:endParaRPr lang="nl-NL" sz="1100"/>
        </a:p>
      </xdr:txBody>
    </xdr:sp>
    <xdr:clientData/>
  </xdr:twoCellAnchor>
  <xdr:twoCellAnchor>
    <xdr:from>
      <xdr:col>20</xdr:col>
      <xdr:colOff>0</xdr:colOff>
      <xdr:row>19</xdr:row>
      <xdr:rowOff>0</xdr:rowOff>
    </xdr:from>
    <xdr:to>
      <xdr:col>21</xdr:col>
      <xdr:colOff>587188</xdr:colOff>
      <xdr:row>22</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1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9</xdr:col>
      <xdr:colOff>590550</xdr:colOff>
      <xdr:row>7</xdr:row>
      <xdr:rowOff>12701</xdr:rowOff>
    </xdr:from>
    <xdr:to>
      <xdr:col>11</xdr:col>
      <xdr:colOff>577850</xdr:colOff>
      <xdr:row>11</xdr:row>
      <xdr:rowOff>12701</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100-00002B000000}"/>
            </a:ext>
          </a:extLst>
        </xdr:cNvPr>
        <xdr:cNvSpPr>
          <a:spLocks noChangeArrowheads="1"/>
        </xdr:cNvSpPr>
      </xdr:nvSpPr>
      <xdr:spPr bwMode="auto">
        <a:xfrm>
          <a:off x="6076950" y="1187451"/>
          <a:ext cx="1181100" cy="635000"/>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9</xdr:col>
      <xdr:colOff>590550</xdr:colOff>
      <xdr:row>11</xdr:row>
      <xdr:rowOff>15875</xdr:rowOff>
    </xdr:from>
    <xdr:to>
      <xdr:col>11</xdr:col>
      <xdr:colOff>584200</xdr:colOff>
      <xdr:row>15</xdr:row>
      <xdr:rowOff>0</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100-00002C000000}"/>
            </a:ext>
          </a:extLst>
        </xdr:cNvPr>
        <xdr:cNvSpPr>
          <a:spLocks noChangeArrowheads="1"/>
        </xdr:cNvSpPr>
      </xdr:nvSpPr>
      <xdr:spPr bwMode="auto">
        <a:xfrm>
          <a:off x="6076950" y="1825625"/>
          <a:ext cx="1187450"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15</xdr:row>
      <xdr:rowOff>0</xdr:rowOff>
    </xdr:from>
    <xdr:to>
      <xdr:col>11</xdr:col>
      <xdr:colOff>587188</xdr:colOff>
      <xdr:row>18</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100-00002D000000}"/>
            </a:ext>
          </a:extLst>
        </xdr:cNvPr>
        <xdr:cNvSpPr>
          <a:spLocks noChangeArrowheads="1"/>
        </xdr:cNvSpPr>
      </xdr:nvSpPr>
      <xdr:spPr bwMode="auto">
        <a:xfrm>
          <a:off x="5715000" y="24765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0</xdr:colOff>
      <xdr:row>19</xdr:row>
      <xdr:rowOff>0</xdr:rowOff>
    </xdr:from>
    <xdr:to>
      <xdr:col>9</xdr:col>
      <xdr:colOff>587188</xdr:colOff>
      <xdr:row>22</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100-000033000000}"/>
            </a:ext>
          </a:extLst>
        </xdr:cNvPr>
        <xdr:cNvSpPr>
          <a:spLocks noChangeArrowheads="1"/>
        </xdr:cNvSpPr>
      </xdr:nvSpPr>
      <xdr:spPr bwMode="auto">
        <a:xfrm>
          <a:off x="4495800"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0</xdr:colOff>
      <xdr:row>15</xdr:row>
      <xdr:rowOff>0</xdr:rowOff>
    </xdr:from>
    <xdr:to>
      <xdr:col>9</xdr:col>
      <xdr:colOff>587188</xdr:colOff>
      <xdr:row>18</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100-000034000000}"/>
            </a:ext>
          </a:extLst>
        </xdr:cNvPr>
        <xdr:cNvSpPr>
          <a:spLocks noChangeArrowheads="1"/>
        </xdr:cNvSpPr>
      </xdr:nvSpPr>
      <xdr:spPr bwMode="auto">
        <a:xfrm>
          <a:off x="44958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0</xdr:colOff>
      <xdr:row>23</xdr:row>
      <xdr:rowOff>0</xdr:rowOff>
    </xdr:from>
    <xdr:to>
      <xdr:col>9</xdr:col>
      <xdr:colOff>587188</xdr:colOff>
      <xdr:row>26</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100-000035000000}"/>
            </a:ext>
          </a:extLst>
        </xdr:cNvPr>
        <xdr:cNvSpPr>
          <a:spLocks noChangeArrowheads="1"/>
        </xdr:cNvSpPr>
      </xdr:nvSpPr>
      <xdr:spPr bwMode="auto">
        <a:xfrm>
          <a:off x="4495800" y="37719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8</xdr:col>
      <xdr:colOff>0</xdr:colOff>
      <xdr:row>27</xdr:row>
      <xdr:rowOff>0</xdr:rowOff>
    </xdr:from>
    <xdr:to>
      <xdr:col>9</xdr:col>
      <xdr:colOff>587188</xdr:colOff>
      <xdr:row>30</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100-000036000000}"/>
            </a:ext>
          </a:extLst>
        </xdr:cNvPr>
        <xdr:cNvSpPr>
          <a:spLocks noChangeArrowheads="1"/>
        </xdr:cNvSpPr>
      </xdr:nvSpPr>
      <xdr:spPr bwMode="auto">
        <a:xfrm>
          <a:off x="4495800"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7</xdr:col>
      <xdr:colOff>523875</xdr:colOff>
      <xdr:row>33</xdr:row>
      <xdr:rowOff>25399</xdr:rowOff>
    </xdr:from>
    <xdr:to>
      <xdr:col>22</xdr:col>
      <xdr:colOff>84667</xdr:colOff>
      <xdr:row>40</xdr:row>
      <xdr:rowOff>2115</xdr:rowOff>
    </xdr:to>
    <xdr:sp macro="" textlink="">
      <xdr:nvSpPr>
        <xdr:cNvPr id="42" name="Rechthoek 41">
          <a:extLst>
            <a:ext uri="{FF2B5EF4-FFF2-40B4-BE49-F238E27FC236}">
              <a16:creationId xmlns:a16="http://schemas.microsoft.com/office/drawing/2014/main" id="{00000000-0008-0000-2100-00002A000000}"/>
            </a:ext>
          </a:extLst>
        </xdr:cNvPr>
        <xdr:cNvSpPr/>
      </xdr:nvSpPr>
      <xdr:spPr bwMode="auto">
        <a:xfrm>
          <a:off x="4765675" y="5393266"/>
          <a:ext cx="8907992" cy="1111249"/>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0</xdr:colOff>
      <xdr:row>27</xdr:row>
      <xdr:rowOff>0</xdr:rowOff>
    </xdr:from>
    <xdr:to>
      <xdr:col>11</xdr:col>
      <xdr:colOff>587188</xdr:colOff>
      <xdr:row>30</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100-000030000000}"/>
            </a:ext>
          </a:extLst>
        </xdr:cNvPr>
        <xdr:cNvSpPr>
          <a:spLocks noChangeArrowheads="1"/>
        </xdr:cNvSpPr>
      </xdr:nvSpPr>
      <xdr:spPr bwMode="auto">
        <a:xfrm>
          <a:off x="5876925" y="44196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23</xdr:row>
      <xdr:rowOff>0</xdr:rowOff>
    </xdr:from>
    <xdr:to>
      <xdr:col>11</xdr:col>
      <xdr:colOff>587188</xdr:colOff>
      <xdr:row>26</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100-000031000000}"/>
            </a:ext>
          </a:extLst>
        </xdr:cNvPr>
        <xdr:cNvSpPr>
          <a:spLocks noChangeArrowheads="1"/>
        </xdr:cNvSpPr>
      </xdr:nvSpPr>
      <xdr:spPr bwMode="auto">
        <a:xfrm>
          <a:off x="5876925" y="37719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19</xdr:row>
      <xdr:rowOff>0</xdr:rowOff>
    </xdr:from>
    <xdr:to>
      <xdr:col>11</xdr:col>
      <xdr:colOff>587188</xdr:colOff>
      <xdr:row>22</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100-000032000000}"/>
            </a:ext>
          </a:extLst>
        </xdr:cNvPr>
        <xdr:cNvSpPr>
          <a:spLocks noChangeArrowheads="1"/>
        </xdr:cNvSpPr>
      </xdr:nvSpPr>
      <xdr:spPr bwMode="auto">
        <a:xfrm>
          <a:off x="5876925" y="31242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20</xdr:col>
      <xdr:colOff>247651</xdr:colOff>
      <xdr:row>33</xdr:row>
      <xdr:rowOff>123826</xdr:rowOff>
    </xdr:from>
    <xdr:to>
      <xdr:col>22</xdr:col>
      <xdr:colOff>1049</xdr:colOff>
      <xdr:row>39</xdr:row>
      <xdr:rowOff>63501</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100-00002F000000}"/>
            </a:ext>
          </a:extLst>
        </xdr:cNvPr>
        <xdr:cNvPicPr>
          <a:picLocks noChangeAspect="1"/>
        </xdr:cNvPicPr>
      </xdr:nvPicPr>
      <xdr:blipFill>
        <a:blip xmlns:r="http://schemas.openxmlformats.org/officeDocument/2006/relationships" r:embed="rId38"/>
        <a:stretch>
          <a:fillRect/>
        </a:stretch>
      </xdr:blipFill>
      <xdr:spPr>
        <a:xfrm>
          <a:off x="12582526" y="5524501"/>
          <a:ext cx="953548" cy="911225"/>
        </a:xfrm>
        <a:prstGeom prst="roundRect">
          <a:avLst>
            <a:gd name="adj" fmla="val 4167"/>
          </a:avLst>
        </a:prstGeom>
        <a:solidFill>
          <a:srgbClr val="FFFFFF"/>
        </a:solidFill>
        <a:ln w="31750" cap="sq">
          <a:solidFill>
            <a:srgbClr val="66CCFF"/>
          </a:solidFill>
          <a:miter lim="800000"/>
        </a:ln>
        <a:effec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12700</xdr:rowOff>
        </xdr:from>
        <xdr:to>
          <xdr:col>23</xdr:col>
          <xdr:colOff>374650</xdr:colOff>
          <xdr:row>9</xdr:row>
          <xdr:rowOff>228600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23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12700</xdr:rowOff>
        </xdr:from>
        <xdr:to>
          <xdr:col>23</xdr:col>
          <xdr:colOff>374650</xdr:colOff>
          <xdr:row>8</xdr:row>
          <xdr:rowOff>228600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23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374650</xdr:colOff>
          <xdr:row>10</xdr:row>
          <xdr:rowOff>241300</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23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374650</xdr:colOff>
          <xdr:row>11</xdr:row>
          <xdr:rowOff>241300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23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374650</xdr:colOff>
          <xdr:row>13</xdr:row>
          <xdr:rowOff>241300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23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374650</xdr:colOff>
          <xdr:row>13</xdr:row>
          <xdr:rowOff>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23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374650</xdr:colOff>
          <xdr:row>14</xdr:row>
          <xdr:rowOff>241300</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23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374650</xdr:colOff>
          <xdr:row>15</xdr:row>
          <xdr:rowOff>241300</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23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12700</xdr:rowOff>
        </xdr:from>
        <xdr:to>
          <xdr:col>23</xdr:col>
          <xdr:colOff>374650</xdr:colOff>
          <xdr:row>17</xdr:row>
          <xdr:rowOff>228600</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23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12700</xdr:rowOff>
        </xdr:from>
        <xdr:to>
          <xdr:col>23</xdr:col>
          <xdr:colOff>374650</xdr:colOff>
          <xdr:row>16</xdr:row>
          <xdr:rowOff>228600</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23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374650</xdr:colOff>
          <xdr:row>18</xdr:row>
          <xdr:rowOff>241300</xdr:rowOff>
        </xdr:to>
        <xdr:sp macro="" textlink="">
          <xdr:nvSpPr>
            <xdr:cNvPr id="98315" name="Check Box 11" hidden="1">
              <a:extLst>
                <a:ext uri="{63B3BB69-23CF-44E3-9099-C40C66FF867C}">
                  <a14:compatExt spid="_x0000_s98315"/>
                </a:ext>
                <a:ext uri="{FF2B5EF4-FFF2-40B4-BE49-F238E27FC236}">
                  <a16:creationId xmlns:a16="http://schemas.microsoft.com/office/drawing/2014/main" id="{00000000-0008-0000-2300-00000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374650</xdr:colOff>
          <xdr:row>19</xdr:row>
          <xdr:rowOff>241300</xdr:rowOff>
        </xdr:to>
        <xdr:sp macro="" textlink="">
          <xdr:nvSpPr>
            <xdr:cNvPr id="98316" name="Check Box 12" hidden="1">
              <a:extLst>
                <a:ext uri="{63B3BB69-23CF-44E3-9099-C40C66FF867C}">
                  <a14:compatExt spid="_x0000_s98316"/>
                </a:ext>
                <a:ext uri="{FF2B5EF4-FFF2-40B4-BE49-F238E27FC236}">
                  <a16:creationId xmlns:a16="http://schemas.microsoft.com/office/drawing/2014/main" id="{00000000-0008-0000-2300-00000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374650</xdr:colOff>
          <xdr:row>21</xdr:row>
          <xdr:rowOff>241300</xdr:rowOff>
        </xdr:to>
        <xdr:sp macro="" textlink="">
          <xdr:nvSpPr>
            <xdr:cNvPr id="98317" name="Check Box 13" hidden="1">
              <a:extLst>
                <a:ext uri="{63B3BB69-23CF-44E3-9099-C40C66FF867C}">
                  <a14:compatExt spid="_x0000_s98317"/>
                </a:ext>
                <a:ext uri="{FF2B5EF4-FFF2-40B4-BE49-F238E27FC236}">
                  <a16:creationId xmlns:a16="http://schemas.microsoft.com/office/drawing/2014/main" id="{00000000-0008-0000-2300-00000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374650</xdr:colOff>
          <xdr:row>20</xdr:row>
          <xdr:rowOff>241300</xdr:rowOff>
        </xdr:to>
        <xdr:sp macro="" textlink="">
          <xdr:nvSpPr>
            <xdr:cNvPr id="98318" name="Check Box 14" hidden="1">
              <a:extLst>
                <a:ext uri="{63B3BB69-23CF-44E3-9099-C40C66FF867C}">
                  <a14:compatExt spid="_x0000_s98318"/>
                </a:ext>
                <a:ext uri="{FF2B5EF4-FFF2-40B4-BE49-F238E27FC236}">
                  <a16:creationId xmlns:a16="http://schemas.microsoft.com/office/drawing/2014/main" id="{00000000-0008-0000-2300-00000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374650</xdr:colOff>
          <xdr:row>22</xdr:row>
          <xdr:rowOff>241300</xdr:rowOff>
        </xdr:to>
        <xdr:sp macro="" textlink="">
          <xdr:nvSpPr>
            <xdr:cNvPr id="98319" name="Check Box 15" hidden="1">
              <a:extLst>
                <a:ext uri="{63B3BB69-23CF-44E3-9099-C40C66FF867C}">
                  <a14:compatExt spid="_x0000_s98319"/>
                </a:ext>
                <a:ext uri="{FF2B5EF4-FFF2-40B4-BE49-F238E27FC236}">
                  <a16:creationId xmlns:a16="http://schemas.microsoft.com/office/drawing/2014/main" id="{00000000-0008-0000-2300-00000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374650</xdr:colOff>
          <xdr:row>23</xdr:row>
          <xdr:rowOff>241300</xdr:rowOff>
        </xdr:to>
        <xdr:sp macro="" textlink="">
          <xdr:nvSpPr>
            <xdr:cNvPr id="98320" name="Check Box 16" hidden="1">
              <a:extLst>
                <a:ext uri="{63B3BB69-23CF-44E3-9099-C40C66FF867C}">
                  <a14:compatExt spid="_x0000_s98320"/>
                </a:ext>
                <a:ext uri="{FF2B5EF4-FFF2-40B4-BE49-F238E27FC236}">
                  <a16:creationId xmlns:a16="http://schemas.microsoft.com/office/drawing/2014/main" id="{00000000-0008-0000-2300-00001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12700</xdr:rowOff>
        </xdr:from>
        <xdr:to>
          <xdr:col>23</xdr:col>
          <xdr:colOff>374650</xdr:colOff>
          <xdr:row>25</xdr:row>
          <xdr:rowOff>228600</xdr:rowOff>
        </xdr:to>
        <xdr:sp macro="" textlink="">
          <xdr:nvSpPr>
            <xdr:cNvPr id="98321" name="Check Box 17" hidden="1">
              <a:extLst>
                <a:ext uri="{63B3BB69-23CF-44E3-9099-C40C66FF867C}">
                  <a14:compatExt spid="_x0000_s98321"/>
                </a:ext>
                <a:ext uri="{FF2B5EF4-FFF2-40B4-BE49-F238E27FC236}">
                  <a16:creationId xmlns:a16="http://schemas.microsoft.com/office/drawing/2014/main" id="{00000000-0008-0000-2300-00001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12700</xdr:rowOff>
        </xdr:from>
        <xdr:to>
          <xdr:col>23</xdr:col>
          <xdr:colOff>374650</xdr:colOff>
          <xdr:row>24</xdr:row>
          <xdr:rowOff>228600</xdr:rowOff>
        </xdr:to>
        <xdr:sp macro="" textlink="">
          <xdr:nvSpPr>
            <xdr:cNvPr id="98322" name="Check Box 18" hidden="1">
              <a:extLst>
                <a:ext uri="{63B3BB69-23CF-44E3-9099-C40C66FF867C}">
                  <a14:compatExt spid="_x0000_s98322"/>
                </a:ext>
                <a:ext uri="{FF2B5EF4-FFF2-40B4-BE49-F238E27FC236}">
                  <a16:creationId xmlns:a16="http://schemas.microsoft.com/office/drawing/2014/main" id="{00000000-0008-0000-2300-00001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374650</xdr:colOff>
          <xdr:row>26</xdr:row>
          <xdr:rowOff>241300</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2300-00001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374650</xdr:colOff>
          <xdr:row>27</xdr:row>
          <xdr:rowOff>241300</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2300-00001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374650</xdr:colOff>
          <xdr:row>29</xdr:row>
          <xdr:rowOff>241300</xdr:rowOff>
        </xdr:to>
        <xdr:sp macro="" textlink="">
          <xdr:nvSpPr>
            <xdr:cNvPr id="98325" name="Check Box 21" hidden="1">
              <a:extLst>
                <a:ext uri="{63B3BB69-23CF-44E3-9099-C40C66FF867C}">
                  <a14:compatExt spid="_x0000_s98325"/>
                </a:ext>
                <a:ext uri="{FF2B5EF4-FFF2-40B4-BE49-F238E27FC236}">
                  <a16:creationId xmlns:a16="http://schemas.microsoft.com/office/drawing/2014/main" id="{00000000-0008-0000-2300-00001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374650</xdr:colOff>
          <xdr:row>28</xdr:row>
          <xdr:rowOff>241300</xdr:rowOff>
        </xdr:to>
        <xdr:sp macro="" textlink="">
          <xdr:nvSpPr>
            <xdr:cNvPr id="98326" name="Check Box 22" hidden="1">
              <a:extLst>
                <a:ext uri="{63B3BB69-23CF-44E3-9099-C40C66FF867C}">
                  <a14:compatExt spid="_x0000_s98326"/>
                </a:ext>
                <a:ext uri="{FF2B5EF4-FFF2-40B4-BE49-F238E27FC236}">
                  <a16:creationId xmlns:a16="http://schemas.microsoft.com/office/drawing/2014/main" id="{00000000-0008-0000-2300-00001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374650</xdr:colOff>
          <xdr:row>30</xdr:row>
          <xdr:rowOff>241300</xdr:rowOff>
        </xdr:to>
        <xdr:sp macro="" textlink="">
          <xdr:nvSpPr>
            <xdr:cNvPr id="98327" name="Check Box 23" hidden="1">
              <a:extLst>
                <a:ext uri="{63B3BB69-23CF-44E3-9099-C40C66FF867C}">
                  <a14:compatExt spid="_x0000_s98327"/>
                </a:ext>
                <a:ext uri="{FF2B5EF4-FFF2-40B4-BE49-F238E27FC236}">
                  <a16:creationId xmlns:a16="http://schemas.microsoft.com/office/drawing/2014/main" id="{00000000-0008-0000-2300-00001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374650</xdr:colOff>
          <xdr:row>31</xdr:row>
          <xdr:rowOff>241300</xdr:rowOff>
        </xdr:to>
        <xdr:sp macro="" textlink="">
          <xdr:nvSpPr>
            <xdr:cNvPr id="98328" name="Check Box 24" hidden="1">
              <a:extLst>
                <a:ext uri="{63B3BB69-23CF-44E3-9099-C40C66FF867C}">
                  <a14:compatExt spid="_x0000_s98328"/>
                </a:ext>
                <a:ext uri="{FF2B5EF4-FFF2-40B4-BE49-F238E27FC236}">
                  <a16:creationId xmlns:a16="http://schemas.microsoft.com/office/drawing/2014/main" id="{00000000-0008-0000-2300-00001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12700</xdr:rowOff>
        </xdr:from>
        <xdr:to>
          <xdr:col>23</xdr:col>
          <xdr:colOff>374650</xdr:colOff>
          <xdr:row>33</xdr:row>
          <xdr:rowOff>228600</xdr:rowOff>
        </xdr:to>
        <xdr:sp macro="" textlink="">
          <xdr:nvSpPr>
            <xdr:cNvPr id="98329" name="Check Box 25" hidden="1">
              <a:extLst>
                <a:ext uri="{63B3BB69-23CF-44E3-9099-C40C66FF867C}">
                  <a14:compatExt spid="_x0000_s98329"/>
                </a:ext>
                <a:ext uri="{FF2B5EF4-FFF2-40B4-BE49-F238E27FC236}">
                  <a16:creationId xmlns:a16="http://schemas.microsoft.com/office/drawing/2014/main" id="{00000000-0008-0000-2300-00001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12700</xdr:rowOff>
        </xdr:from>
        <xdr:to>
          <xdr:col>23</xdr:col>
          <xdr:colOff>374650</xdr:colOff>
          <xdr:row>32</xdr:row>
          <xdr:rowOff>228600</xdr:rowOff>
        </xdr:to>
        <xdr:sp macro="" textlink="">
          <xdr:nvSpPr>
            <xdr:cNvPr id="98330" name="Check Box 26" hidden="1">
              <a:extLst>
                <a:ext uri="{63B3BB69-23CF-44E3-9099-C40C66FF867C}">
                  <a14:compatExt spid="_x0000_s98330"/>
                </a:ext>
                <a:ext uri="{FF2B5EF4-FFF2-40B4-BE49-F238E27FC236}">
                  <a16:creationId xmlns:a16="http://schemas.microsoft.com/office/drawing/2014/main" id="{00000000-0008-0000-2300-00001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374650</xdr:colOff>
          <xdr:row>34</xdr:row>
          <xdr:rowOff>241300</xdr:rowOff>
        </xdr:to>
        <xdr:sp macro="" textlink="">
          <xdr:nvSpPr>
            <xdr:cNvPr id="98331" name="Check Box 27" hidden="1">
              <a:extLst>
                <a:ext uri="{63B3BB69-23CF-44E3-9099-C40C66FF867C}">
                  <a14:compatExt spid="_x0000_s98331"/>
                </a:ext>
                <a:ext uri="{FF2B5EF4-FFF2-40B4-BE49-F238E27FC236}">
                  <a16:creationId xmlns:a16="http://schemas.microsoft.com/office/drawing/2014/main" id="{00000000-0008-0000-2300-00001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374650</xdr:colOff>
          <xdr:row>35</xdr:row>
          <xdr:rowOff>241300</xdr:rowOff>
        </xdr:to>
        <xdr:sp macro="" textlink="">
          <xdr:nvSpPr>
            <xdr:cNvPr id="98332" name="Check Box 28" hidden="1">
              <a:extLst>
                <a:ext uri="{63B3BB69-23CF-44E3-9099-C40C66FF867C}">
                  <a14:compatExt spid="_x0000_s98332"/>
                </a:ext>
                <a:ext uri="{FF2B5EF4-FFF2-40B4-BE49-F238E27FC236}">
                  <a16:creationId xmlns:a16="http://schemas.microsoft.com/office/drawing/2014/main" id="{00000000-0008-0000-2300-00001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374650</xdr:colOff>
          <xdr:row>37</xdr:row>
          <xdr:rowOff>241300</xdr:rowOff>
        </xdr:to>
        <xdr:sp macro="" textlink="">
          <xdr:nvSpPr>
            <xdr:cNvPr id="98333" name="Check Box 29" hidden="1">
              <a:extLst>
                <a:ext uri="{63B3BB69-23CF-44E3-9099-C40C66FF867C}">
                  <a14:compatExt spid="_x0000_s98333"/>
                </a:ext>
                <a:ext uri="{FF2B5EF4-FFF2-40B4-BE49-F238E27FC236}">
                  <a16:creationId xmlns:a16="http://schemas.microsoft.com/office/drawing/2014/main" id="{00000000-0008-0000-2300-00001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374650</xdr:colOff>
          <xdr:row>36</xdr:row>
          <xdr:rowOff>241300</xdr:rowOff>
        </xdr:to>
        <xdr:sp macro="" textlink="">
          <xdr:nvSpPr>
            <xdr:cNvPr id="98334" name="Check Box 30" hidden="1">
              <a:extLst>
                <a:ext uri="{63B3BB69-23CF-44E3-9099-C40C66FF867C}">
                  <a14:compatExt spid="_x0000_s98334"/>
                </a:ext>
                <a:ext uri="{FF2B5EF4-FFF2-40B4-BE49-F238E27FC236}">
                  <a16:creationId xmlns:a16="http://schemas.microsoft.com/office/drawing/2014/main" id="{00000000-0008-0000-2300-00001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374650</xdr:colOff>
          <xdr:row>38</xdr:row>
          <xdr:rowOff>241300</xdr:rowOff>
        </xdr:to>
        <xdr:sp macro="" textlink="">
          <xdr:nvSpPr>
            <xdr:cNvPr id="98335" name="Check Box 31" hidden="1">
              <a:extLst>
                <a:ext uri="{63B3BB69-23CF-44E3-9099-C40C66FF867C}">
                  <a14:compatExt spid="_x0000_s98335"/>
                </a:ext>
                <a:ext uri="{FF2B5EF4-FFF2-40B4-BE49-F238E27FC236}">
                  <a16:creationId xmlns:a16="http://schemas.microsoft.com/office/drawing/2014/main" id="{00000000-0008-0000-2300-00001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374650</xdr:colOff>
          <xdr:row>39</xdr:row>
          <xdr:rowOff>241300</xdr:rowOff>
        </xdr:to>
        <xdr:sp macro="" textlink="">
          <xdr:nvSpPr>
            <xdr:cNvPr id="98336" name="Check Box 32" hidden="1">
              <a:extLst>
                <a:ext uri="{63B3BB69-23CF-44E3-9099-C40C66FF867C}">
                  <a14:compatExt spid="_x0000_s98336"/>
                </a:ext>
                <a:ext uri="{FF2B5EF4-FFF2-40B4-BE49-F238E27FC236}">
                  <a16:creationId xmlns:a16="http://schemas.microsoft.com/office/drawing/2014/main" id="{00000000-0008-0000-2300-00002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12700</xdr:rowOff>
        </xdr:from>
        <xdr:to>
          <xdr:col>23</xdr:col>
          <xdr:colOff>374650</xdr:colOff>
          <xdr:row>41</xdr:row>
          <xdr:rowOff>228600</xdr:rowOff>
        </xdr:to>
        <xdr:sp macro="" textlink="">
          <xdr:nvSpPr>
            <xdr:cNvPr id="98337" name="Check Box 33" hidden="1">
              <a:extLst>
                <a:ext uri="{63B3BB69-23CF-44E3-9099-C40C66FF867C}">
                  <a14:compatExt spid="_x0000_s98337"/>
                </a:ext>
                <a:ext uri="{FF2B5EF4-FFF2-40B4-BE49-F238E27FC236}">
                  <a16:creationId xmlns:a16="http://schemas.microsoft.com/office/drawing/2014/main" id="{00000000-0008-0000-2300-00002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12700</xdr:rowOff>
        </xdr:from>
        <xdr:to>
          <xdr:col>23</xdr:col>
          <xdr:colOff>374650</xdr:colOff>
          <xdr:row>40</xdr:row>
          <xdr:rowOff>228600</xdr:rowOff>
        </xdr:to>
        <xdr:sp macro="" textlink="">
          <xdr:nvSpPr>
            <xdr:cNvPr id="98338" name="Check Box 34" hidden="1">
              <a:extLst>
                <a:ext uri="{63B3BB69-23CF-44E3-9099-C40C66FF867C}">
                  <a14:compatExt spid="_x0000_s98338"/>
                </a:ext>
                <a:ext uri="{FF2B5EF4-FFF2-40B4-BE49-F238E27FC236}">
                  <a16:creationId xmlns:a16="http://schemas.microsoft.com/office/drawing/2014/main" id="{00000000-0008-0000-2300-00002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3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3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3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3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3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3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3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3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3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3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3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3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37</xdr:col>
      <xdr:colOff>485775</xdr:colOff>
      <xdr:row>4</xdr:row>
      <xdr:rowOff>115421</xdr:rowOff>
    </xdr:from>
    <xdr:to>
      <xdr:col>39</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3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37</xdr:col>
      <xdr:colOff>485775</xdr:colOff>
      <xdr:row>1</xdr:row>
      <xdr:rowOff>257175</xdr:rowOff>
    </xdr:from>
    <xdr:to>
      <xdr:col>39</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3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mc:AlternateContent xmlns:mc="http://schemas.openxmlformats.org/markup-compatibility/2006">
    <mc:Choice xmlns:a14="http://schemas.microsoft.com/office/drawing/2010/main" Requires="a14">
      <xdr:twoCellAnchor editAs="oneCell">
        <xdr:from>
          <xdr:col>23</xdr:col>
          <xdr:colOff>38100</xdr:colOff>
          <xdr:row>6</xdr:row>
          <xdr:rowOff>12700</xdr:rowOff>
        </xdr:from>
        <xdr:to>
          <xdr:col>23</xdr:col>
          <xdr:colOff>374650</xdr:colOff>
          <xdr:row>6</xdr:row>
          <xdr:rowOff>228600</xdr:rowOff>
        </xdr:to>
        <xdr:sp macro="" textlink="">
          <xdr:nvSpPr>
            <xdr:cNvPr id="98339" name="Check Box 35" hidden="1">
              <a:extLst>
                <a:ext uri="{63B3BB69-23CF-44E3-9099-C40C66FF867C}">
                  <a14:compatExt spid="_x0000_s98339"/>
                </a:ext>
                <a:ext uri="{FF2B5EF4-FFF2-40B4-BE49-F238E27FC236}">
                  <a16:creationId xmlns:a16="http://schemas.microsoft.com/office/drawing/2014/main" id="{00000000-0008-0000-2300-00002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12700</xdr:rowOff>
        </xdr:from>
        <xdr:to>
          <xdr:col>23</xdr:col>
          <xdr:colOff>374650</xdr:colOff>
          <xdr:row>7</xdr:row>
          <xdr:rowOff>228600</xdr:rowOff>
        </xdr:to>
        <xdr:sp macro="" textlink="">
          <xdr:nvSpPr>
            <xdr:cNvPr id="98340" name="Check Box 36" hidden="1">
              <a:extLst>
                <a:ext uri="{63B3BB69-23CF-44E3-9099-C40C66FF867C}">
                  <a14:compatExt spid="_x0000_s98340"/>
                </a:ext>
                <a:ext uri="{FF2B5EF4-FFF2-40B4-BE49-F238E27FC236}">
                  <a16:creationId xmlns:a16="http://schemas.microsoft.com/office/drawing/2014/main" id="{00000000-0008-0000-2300-00002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3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5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5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5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5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5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5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5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5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5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5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5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5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5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11207</xdr:colOff>
      <xdr:row>2</xdr:row>
      <xdr:rowOff>156882</xdr:rowOff>
    </xdr:from>
    <xdr:to>
      <xdr:col>8</xdr:col>
      <xdr:colOff>369795</xdr:colOff>
      <xdr:row>39</xdr:row>
      <xdr:rowOff>235324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500-00001F000000}"/>
            </a:ext>
          </a:extLst>
        </xdr:cNvPr>
        <xdr:cNvSpPr/>
      </xdr:nvSpPr>
      <xdr:spPr bwMode="auto">
        <a:xfrm>
          <a:off x="1434354" y="840441"/>
          <a:ext cx="2879912"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5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11203</xdr:colOff>
      <xdr:row>13</xdr:row>
      <xdr:rowOff>235324</xdr:rowOff>
    </xdr:from>
    <xdr:to>
      <xdr:col>16</xdr:col>
      <xdr:colOff>11205</xdr:colOff>
      <xdr:row>23</xdr:row>
      <xdr:rowOff>235324</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500-000021000000}"/>
            </a:ext>
          </a:extLst>
        </xdr:cNvPr>
        <xdr:cNvSpPr/>
      </xdr:nvSpPr>
      <xdr:spPr bwMode="auto">
        <a:xfrm>
          <a:off x="6230468" y="5076265"/>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5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22412</xdr:colOff>
      <xdr:row>3</xdr:row>
      <xdr:rowOff>1</xdr:rowOff>
    </xdr:from>
    <xdr:to>
      <xdr:col>16</xdr:col>
      <xdr:colOff>0</xdr:colOff>
      <xdr:row>7</xdr:row>
      <xdr:rowOff>22411</xdr:rowOff>
    </xdr:to>
    <xdr:graphicFrame macro="">
      <xdr:nvGraphicFramePr>
        <xdr:cNvPr id="29" name="Chart 5">
          <a:extLst>
            <a:ext uri="{FF2B5EF4-FFF2-40B4-BE49-F238E27FC236}">
              <a16:creationId xmlns:a16="http://schemas.microsoft.com/office/drawing/2014/main" id="{00000000-0008-0000-2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8"/>
          <a:extLst>
            <a:ext uri="{FF2B5EF4-FFF2-40B4-BE49-F238E27FC236}">
              <a16:creationId xmlns:a16="http://schemas.microsoft.com/office/drawing/2014/main" id="{00000000-0008-0000-25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9"/>
          <a:extLst>
            <a:ext uri="{FF2B5EF4-FFF2-40B4-BE49-F238E27FC236}">
              <a16:creationId xmlns:a16="http://schemas.microsoft.com/office/drawing/2014/main" id="{00000000-0008-0000-25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5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7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7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7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7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7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7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7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7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7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7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7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7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0</xdr:colOff>
      <xdr:row>3</xdr:row>
      <xdr:rowOff>0</xdr:rowOff>
    </xdr:from>
    <xdr:to>
      <xdr:col>10</xdr:col>
      <xdr:colOff>0</xdr:colOff>
      <xdr:row>40</xdr:row>
      <xdr:rowOff>1</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700-000014000000}"/>
            </a:ext>
          </a:extLst>
        </xdr:cNvPr>
        <xdr:cNvSpPr/>
      </xdr:nvSpPr>
      <xdr:spPr bwMode="auto">
        <a:xfrm>
          <a:off x="1423147" y="851647"/>
          <a:ext cx="3115235"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7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7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7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22412</xdr:colOff>
      <xdr:row>3</xdr:row>
      <xdr:rowOff>1</xdr:rowOff>
    </xdr:from>
    <xdr:to>
      <xdr:col>16</xdr:col>
      <xdr:colOff>0</xdr:colOff>
      <xdr:row>7</xdr:row>
      <xdr:rowOff>22411</xdr:rowOff>
    </xdr:to>
    <xdr:graphicFrame macro="">
      <xdr:nvGraphicFramePr>
        <xdr:cNvPr id="27" name="Chart 5">
          <a:extLst>
            <a:ext uri="{FF2B5EF4-FFF2-40B4-BE49-F238E27FC236}">
              <a16:creationId xmlns:a16="http://schemas.microsoft.com/office/drawing/2014/main" id="{00000000-0008-0000-2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6724</xdr:colOff>
      <xdr:row>3</xdr:row>
      <xdr:rowOff>6720</xdr:rowOff>
    </xdr:from>
    <xdr:to>
      <xdr:col>13</xdr:col>
      <xdr:colOff>190500</xdr:colOff>
      <xdr:row>40</xdr:row>
      <xdr:rowOff>6721</xdr:rowOff>
    </xdr:to>
    <xdr:sp macro="" textlink="">
      <xdr:nvSpPr>
        <xdr:cNvPr id="28" name="Rechthoek 27">
          <a:extLst>
            <a:ext uri="{FF2B5EF4-FFF2-40B4-BE49-F238E27FC236}">
              <a16:creationId xmlns:a16="http://schemas.microsoft.com/office/drawing/2014/main" id="{00000000-0008-0000-2700-00001C000000}"/>
            </a:ext>
          </a:extLst>
        </xdr:cNvPr>
        <xdr:cNvSpPr/>
      </xdr:nvSpPr>
      <xdr:spPr bwMode="auto">
        <a:xfrm>
          <a:off x="5307106" y="858367"/>
          <a:ext cx="564776"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7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9"/>
          <a:extLst>
            <a:ext uri="{FF2B5EF4-FFF2-40B4-BE49-F238E27FC236}">
              <a16:creationId xmlns:a16="http://schemas.microsoft.com/office/drawing/2014/main" id="{00000000-0008-0000-27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7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7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8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8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8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8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8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8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8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8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8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8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8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201706</xdr:colOff>
      <xdr:row>2</xdr:row>
      <xdr:rowOff>156882</xdr:rowOff>
    </xdr:from>
    <xdr:to>
      <xdr:col>9</xdr:col>
      <xdr:colOff>201705</xdr:colOff>
      <xdr:row>39</xdr:row>
      <xdr:rowOff>235324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800-000014000000}"/>
            </a:ext>
          </a:extLst>
        </xdr:cNvPr>
        <xdr:cNvSpPr/>
      </xdr:nvSpPr>
      <xdr:spPr bwMode="auto">
        <a:xfrm>
          <a:off x="1411941" y="840441"/>
          <a:ext cx="3115235"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8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14</xdr:row>
      <xdr:rowOff>0</xdr:rowOff>
    </xdr:from>
    <xdr:to>
      <xdr:col>16</xdr:col>
      <xdr:colOff>11209</xdr:colOff>
      <xdr:row>24</xdr:row>
      <xdr:rowOff>0</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800-000016000000}"/>
            </a:ext>
          </a:extLst>
        </xdr:cNvPr>
        <xdr:cNvSpPr/>
      </xdr:nvSpPr>
      <xdr:spPr bwMode="auto">
        <a:xfrm>
          <a:off x="6230472" y="5087471"/>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8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22412</xdr:colOff>
      <xdr:row>3</xdr:row>
      <xdr:rowOff>1</xdr:rowOff>
    </xdr:from>
    <xdr:to>
      <xdr:col>16</xdr:col>
      <xdr:colOff>0</xdr:colOff>
      <xdr:row>7</xdr:row>
      <xdr:rowOff>22411</xdr:rowOff>
    </xdr:to>
    <xdr:graphicFrame macro="">
      <xdr:nvGraphicFramePr>
        <xdr:cNvPr id="27" name="Chart 5">
          <a:extLst>
            <a:ext uri="{FF2B5EF4-FFF2-40B4-BE49-F238E27FC236}">
              <a16:creationId xmlns:a16="http://schemas.microsoft.com/office/drawing/2014/main" id="{00000000-0008-0000-2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6724</xdr:colOff>
      <xdr:row>3</xdr:row>
      <xdr:rowOff>6720</xdr:rowOff>
    </xdr:from>
    <xdr:to>
      <xdr:col>13</xdr:col>
      <xdr:colOff>190500</xdr:colOff>
      <xdr:row>40</xdr:row>
      <xdr:rowOff>6721</xdr:rowOff>
    </xdr:to>
    <xdr:sp macro="" textlink="">
      <xdr:nvSpPr>
        <xdr:cNvPr id="28" name="Rechthoek 27">
          <a:extLst>
            <a:ext uri="{FF2B5EF4-FFF2-40B4-BE49-F238E27FC236}">
              <a16:creationId xmlns:a16="http://schemas.microsoft.com/office/drawing/2014/main" id="{00000000-0008-0000-2800-00001C000000}"/>
            </a:ext>
          </a:extLst>
        </xdr:cNvPr>
        <xdr:cNvSpPr/>
      </xdr:nvSpPr>
      <xdr:spPr bwMode="auto">
        <a:xfrm>
          <a:off x="5293099" y="863970"/>
          <a:ext cx="564776" cy="1068705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8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8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9"/>
          <a:extLst>
            <a:ext uri="{FF2B5EF4-FFF2-40B4-BE49-F238E27FC236}">
              <a16:creationId xmlns:a16="http://schemas.microsoft.com/office/drawing/2014/main" id="{00000000-0008-0000-28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8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8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A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2A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2A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2A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2A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2A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2A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2A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2A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2A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2A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201704</xdr:colOff>
      <xdr:row>3</xdr:row>
      <xdr:rowOff>0</xdr:rowOff>
    </xdr:from>
    <xdr:to>
      <xdr:col>10</xdr:col>
      <xdr:colOff>371474</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bwMode="auto">
        <a:xfrm>
          <a:off x="1401854" y="857250"/>
          <a:ext cx="3493995" cy="1068705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11203</xdr:colOff>
      <xdr:row>25</xdr:row>
      <xdr:rowOff>22408</xdr:rowOff>
    </xdr:from>
    <xdr:to>
      <xdr:col>16</xdr:col>
      <xdr:colOff>22410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2A00-000010000000}"/>
            </a:ext>
          </a:extLst>
        </xdr:cNvPr>
        <xdr:cNvSpPr/>
      </xdr:nvSpPr>
      <xdr:spPr bwMode="auto">
        <a:xfrm>
          <a:off x="6230468"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11203</xdr:colOff>
      <xdr:row>14</xdr:row>
      <xdr:rowOff>0</xdr:rowOff>
    </xdr:from>
    <xdr:to>
      <xdr:col>16</xdr:col>
      <xdr:colOff>11205</xdr:colOff>
      <xdr:row>24</xdr:row>
      <xdr:rowOff>0</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2A00-000011000000}"/>
            </a:ext>
          </a:extLst>
        </xdr:cNvPr>
        <xdr:cNvSpPr/>
      </xdr:nvSpPr>
      <xdr:spPr bwMode="auto">
        <a:xfrm>
          <a:off x="6230468" y="5087471"/>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15</xdr:col>
      <xdr:colOff>4045322</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2A00-000012000000}"/>
            </a:ext>
          </a:extLst>
        </xdr:cNvPr>
        <xdr:cNvSpPr/>
      </xdr:nvSpPr>
      <xdr:spPr bwMode="auto">
        <a:xfrm>
          <a:off x="6230470"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22412</xdr:colOff>
      <xdr:row>3</xdr:row>
      <xdr:rowOff>1</xdr:rowOff>
    </xdr:from>
    <xdr:to>
      <xdr:col>16</xdr:col>
      <xdr:colOff>0</xdr:colOff>
      <xdr:row>7</xdr:row>
      <xdr:rowOff>22411</xdr:rowOff>
    </xdr:to>
    <xdr:graphicFrame macro="">
      <xdr:nvGraphicFramePr>
        <xdr:cNvPr id="22" name="Chart 5">
          <a:extLst>
            <a:ext uri="{FF2B5EF4-FFF2-40B4-BE49-F238E27FC236}">
              <a16:creationId xmlns:a16="http://schemas.microsoft.com/office/drawing/2014/main" id="{00000000-0008-0000-2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216274</xdr:colOff>
      <xdr:row>2</xdr:row>
      <xdr:rowOff>127370</xdr:rowOff>
    </xdr:from>
    <xdr:to>
      <xdr:col>14</xdr:col>
      <xdr:colOff>177800</xdr:colOff>
      <xdr:row>39</xdr:row>
      <xdr:rowOff>209921</xdr:rowOff>
    </xdr:to>
    <xdr:sp macro="" textlink="">
      <xdr:nvSpPr>
        <xdr:cNvPr id="23" name="Rechthoek 22">
          <a:extLst>
            <a:ext uri="{FF2B5EF4-FFF2-40B4-BE49-F238E27FC236}">
              <a16:creationId xmlns:a16="http://schemas.microsoft.com/office/drawing/2014/main" id="{00000000-0008-0000-2A00-000017000000}"/>
            </a:ext>
          </a:extLst>
        </xdr:cNvPr>
        <xdr:cNvSpPr/>
      </xdr:nvSpPr>
      <xdr:spPr bwMode="auto">
        <a:xfrm>
          <a:off x="5772524" y="8131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2A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A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9"/>
          <a:extLst>
            <a:ext uri="{FF2B5EF4-FFF2-40B4-BE49-F238E27FC236}">
              <a16:creationId xmlns:a16="http://schemas.microsoft.com/office/drawing/2014/main" id="{00000000-0008-0000-2A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A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A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B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9525</xdr:colOff>
      <xdr:row>2</xdr:row>
      <xdr:rowOff>149037</xdr:rowOff>
    </xdr:from>
    <xdr:to>
      <xdr:col>13</xdr:col>
      <xdr:colOff>200024</xdr:colOff>
      <xdr:row>39</xdr:row>
      <xdr:rowOff>228600</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B00-000010000000}"/>
            </a:ext>
          </a:extLst>
        </xdr:cNvPr>
        <xdr:cNvSpPr/>
      </xdr:nvSpPr>
      <xdr:spPr bwMode="auto">
        <a:xfrm>
          <a:off x="1419225" y="834837"/>
          <a:ext cx="4448174" cy="1069041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B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13</xdr:row>
      <xdr:rowOff>235323</xdr:rowOff>
    </xdr:from>
    <xdr:to>
      <xdr:col>16</xdr:col>
      <xdr:colOff>11200</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B00-000012000000}"/>
            </a:ext>
          </a:extLst>
        </xdr:cNvPr>
        <xdr:cNvSpPr/>
      </xdr:nvSpPr>
      <xdr:spPr bwMode="auto">
        <a:xfrm>
          <a:off x="6230463"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B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22412</xdr:colOff>
      <xdr:row>3</xdr:row>
      <xdr:rowOff>1</xdr:rowOff>
    </xdr:from>
    <xdr:to>
      <xdr:col>16</xdr:col>
      <xdr:colOff>0</xdr:colOff>
      <xdr:row>7</xdr:row>
      <xdr:rowOff>22411</xdr:rowOff>
    </xdr:to>
    <xdr:graphicFrame macro="">
      <xdr:nvGraphicFramePr>
        <xdr:cNvPr id="23" name="Chart 5">
          <a:extLst>
            <a:ext uri="{FF2B5EF4-FFF2-40B4-BE49-F238E27FC236}">
              <a16:creationId xmlns:a16="http://schemas.microsoft.com/office/drawing/2014/main" id="{00000000-0008-0000-2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B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9"/>
          <a:extLst>
            <a:ext uri="{FF2B5EF4-FFF2-40B4-BE49-F238E27FC236}">
              <a16:creationId xmlns:a16="http://schemas.microsoft.com/office/drawing/2014/main" id="{00000000-0008-0000-2B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2B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Bij rekenen werken we steeds vanuit de doelen die voortkomen uit de resultaten van de schaduwtoets. Dit spreekt de kinderen meer aan. Een aantal van deze doelen zijn ook zichtbaar op de datamuur. Kinderen moeten meer aandacht hebben voor het reflecteren, het drieslagmodel wordt aangeboden als denkmodel voor de leerlingen.</a:t>
          </a:r>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2B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D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D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11207</xdr:colOff>
      <xdr:row>3</xdr:row>
      <xdr:rowOff>1</xdr:rowOff>
    </xdr:from>
    <xdr:to>
      <xdr:col>9</xdr:col>
      <xdr:colOff>190500</xdr:colOff>
      <xdr:row>40</xdr:row>
      <xdr:rowOff>2</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D00-000010000000}"/>
            </a:ext>
          </a:extLst>
        </xdr:cNvPr>
        <xdr:cNvSpPr/>
      </xdr:nvSpPr>
      <xdr:spPr bwMode="auto">
        <a:xfrm>
          <a:off x="1434354" y="851648"/>
          <a:ext cx="3081617"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D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D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D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2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22412</xdr:colOff>
      <xdr:row>3</xdr:row>
      <xdr:rowOff>1</xdr:rowOff>
    </xdr:from>
    <xdr:to>
      <xdr:col>20</xdr:col>
      <xdr:colOff>0</xdr:colOff>
      <xdr:row>7</xdr:row>
      <xdr:rowOff>22411</xdr:rowOff>
    </xdr:to>
    <xdr:graphicFrame macro="">
      <xdr:nvGraphicFramePr>
        <xdr:cNvPr id="23" name="Chart 5">
          <a:extLst>
            <a:ext uri="{FF2B5EF4-FFF2-40B4-BE49-F238E27FC236}">
              <a16:creationId xmlns:a16="http://schemas.microsoft.com/office/drawing/2014/main" id="{00000000-0008-0000-2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8"/>
          <a:extLst>
            <a:ext uri="{FF2B5EF4-FFF2-40B4-BE49-F238E27FC236}">
              <a16:creationId xmlns:a16="http://schemas.microsoft.com/office/drawing/2014/main" id="{00000000-0008-0000-2D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9"/>
          <a:extLst>
            <a:ext uri="{FF2B5EF4-FFF2-40B4-BE49-F238E27FC236}">
              <a16:creationId xmlns:a16="http://schemas.microsoft.com/office/drawing/2014/main" id="{00000000-0008-0000-2D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2D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2D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571500</xdr:colOff>
          <xdr:row>7</xdr:row>
          <xdr:rowOff>228600</xdr:rowOff>
        </xdr:to>
        <xdr:sp macro="" textlink="">
          <xdr:nvSpPr>
            <xdr:cNvPr id="81921" name="Option Button 1" hidden="1">
              <a:extLst>
                <a:ext uri="{63B3BB69-23CF-44E3-9099-C40C66FF867C}">
                  <a14:compatExt spid="_x0000_s81921"/>
                </a:ext>
                <a:ext uri="{FF2B5EF4-FFF2-40B4-BE49-F238E27FC236}">
                  <a16:creationId xmlns:a16="http://schemas.microsoft.com/office/drawing/2014/main" id="{00000000-0008-0000-2F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571500</xdr:colOff>
          <xdr:row>8</xdr:row>
          <xdr:rowOff>228600</xdr:rowOff>
        </xdr:to>
        <xdr:sp macro="" textlink="">
          <xdr:nvSpPr>
            <xdr:cNvPr id="81922" name="Option Button 2" hidden="1">
              <a:extLst>
                <a:ext uri="{63B3BB69-23CF-44E3-9099-C40C66FF867C}">
                  <a14:compatExt spid="_x0000_s81922"/>
                </a:ext>
                <a:ext uri="{FF2B5EF4-FFF2-40B4-BE49-F238E27FC236}">
                  <a16:creationId xmlns:a16="http://schemas.microsoft.com/office/drawing/2014/main" id="{00000000-0008-0000-2F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12700</xdr:rowOff>
        </xdr:from>
        <xdr:to>
          <xdr:col>17</xdr:col>
          <xdr:colOff>571500</xdr:colOff>
          <xdr:row>9</xdr:row>
          <xdr:rowOff>228600</xdr:rowOff>
        </xdr:to>
        <xdr:sp macro="" textlink="">
          <xdr:nvSpPr>
            <xdr:cNvPr id="81923" name="Option Button 3" hidden="1">
              <a:extLst>
                <a:ext uri="{63B3BB69-23CF-44E3-9099-C40C66FF867C}">
                  <a14:compatExt spid="_x0000_s81923"/>
                </a:ext>
                <a:ext uri="{FF2B5EF4-FFF2-40B4-BE49-F238E27FC236}">
                  <a16:creationId xmlns:a16="http://schemas.microsoft.com/office/drawing/2014/main" id="{00000000-0008-0000-2F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12700</xdr:rowOff>
        </xdr:from>
        <xdr:to>
          <xdr:col>17</xdr:col>
          <xdr:colOff>571500</xdr:colOff>
          <xdr:row>10</xdr:row>
          <xdr:rowOff>228600</xdr:rowOff>
        </xdr:to>
        <xdr:sp macro="" textlink="">
          <xdr:nvSpPr>
            <xdr:cNvPr id="81924" name="Option Button 4" hidden="1">
              <a:extLst>
                <a:ext uri="{63B3BB69-23CF-44E3-9099-C40C66FF867C}">
                  <a14:compatExt spid="_x0000_s81924"/>
                </a:ext>
                <a:ext uri="{FF2B5EF4-FFF2-40B4-BE49-F238E27FC236}">
                  <a16:creationId xmlns:a16="http://schemas.microsoft.com/office/drawing/2014/main" id="{00000000-0008-0000-2F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19050</xdr:rowOff>
        </xdr:from>
        <xdr:to>
          <xdr:col>3</xdr:col>
          <xdr:colOff>412750</xdr:colOff>
          <xdr:row>13</xdr:row>
          <xdr:rowOff>228600</xdr:rowOff>
        </xdr:to>
        <xdr:sp macro="" textlink="">
          <xdr:nvSpPr>
            <xdr:cNvPr id="81925" name="Option Button 5" hidden="1">
              <a:extLst>
                <a:ext uri="{63B3BB69-23CF-44E3-9099-C40C66FF867C}">
                  <a14:compatExt spid="_x0000_s81925"/>
                </a:ext>
                <a:ext uri="{FF2B5EF4-FFF2-40B4-BE49-F238E27FC236}">
                  <a16:creationId xmlns:a16="http://schemas.microsoft.com/office/drawing/2014/main" id="{00000000-0008-0000-2F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26</xdr:col>
          <xdr:colOff>698500</xdr:colOff>
          <xdr:row>11</xdr:row>
          <xdr:rowOff>0</xdr:rowOff>
        </xdr:to>
        <xdr:sp macro="" textlink="">
          <xdr:nvSpPr>
            <xdr:cNvPr id="81926" name="Group Box 6" hidden="1">
              <a:extLst>
                <a:ext uri="{63B3BB69-23CF-44E3-9099-C40C66FF867C}">
                  <a14:compatExt spid="_x0000_s81926"/>
                </a:ext>
                <a:ext uri="{FF2B5EF4-FFF2-40B4-BE49-F238E27FC236}">
                  <a16:creationId xmlns:a16="http://schemas.microsoft.com/office/drawing/2014/main" id="{00000000-0008-0000-2F00-00000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13</xdr:row>
          <xdr:rowOff>19050</xdr:rowOff>
        </xdr:from>
        <xdr:to>
          <xdr:col>4</xdr:col>
          <xdr:colOff>412750</xdr:colOff>
          <xdr:row>13</xdr:row>
          <xdr:rowOff>228600</xdr:rowOff>
        </xdr:to>
        <xdr:sp macro="" textlink="">
          <xdr:nvSpPr>
            <xdr:cNvPr id="81927" name="Option Button 7" hidden="1">
              <a:extLst>
                <a:ext uri="{63B3BB69-23CF-44E3-9099-C40C66FF867C}">
                  <a14:compatExt spid="_x0000_s81927"/>
                </a:ext>
                <a:ext uri="{FF2B5EF4-FFF2-40B4-BE49-F238E27FC236}">
                  <a16:creationId xmlns:a16="http://schemas.microsoft.com/office/drawing/2014/main" id="{00000000-0008-0000-2F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13</xdr:row>
          <xdr:rowOff>19050</xdr:rowOff>
        </xdr:from>
        <xdr:to>
          <xdr:col>5</xdr:col>
          <xdr:colOff>412750</xdr:colOff>
          <xdr:row>13</xdr:row>
          <xdr:rowOff>228600</xdr:rowOff>
        </xdr:to>
        <xdr:sp macro="" textlink="">
          <xdr:nvSpPr>
            <xdr:cNvPr id="81928" name="Option Button 8" hidden="1">
              <a:extLst>
                <a:ext uri="{63B3BB69-23CF-44E3-9099-C40C66FF867C}">
                  <a14:compatExt spid="_x0000_s81928"/>
                </a:ext>
                <a:ext uri="{FF2B5EF4-FFF2-40B4-BE49-F238E27FC236}">
                  <a16:creationId xmlns:a16="http://schemas.microsoft.com/office/drawing/2014/main" id="{00000000-0008-0000-2F00-00000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13</xdr:row>
          <xdr:rowOff>19050</xdr:rowOff>
        </xdr:from>
        <xdr:to>
          <xdr:col>6</xdr:col>
          <xdr:colOff>412750</xdr:colOff>
          <xdr:row>13</xdr:row>
          <xdr:rowOff>228600</xdr:rowOff>
        </xdr:to>
        <xdr:sp macro="" textlink="">
          <xdr:nvSpPr>
            <xdr:cNvPr id="81929" name="Option Button 9" hidden="1">
              <a:extLst>
                <a:ext uri="{63B3BB69-23CF-44E3-9099-C40C66FF867C}">
                  <a14:compatExt spid="_x0000_s81929"/>
                </a:ext>
                <a:ext uri="{FF2B5EF4-FFF2-40B4-BE49-F238E27FC236}">
                  <a16:creationId xmlns:a16="http://schemas.microsoft.com/office/drawing/2014/main" id="{00000000-0008-0000-2F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19050</xdr:rowOff>
        </xdr:from>
        <xdr:to>
          <xdr:col>3</xdr:col>
          <xdr:colOff>412750</xdr:colOff>
          <xdr:row>14</xdr:row>
          <xdr:rowOff>228600</xdr:rowOff>
        </xdr:to>
        <xdr:sp macro="" textlink="">
          <xdr:nvSpPr>
            <xdr:cNvPr id="81930" name="Option Button 10" hidden="1">
              <a:extLst>
                <a:ext uri="{63B3BB69-23CF-44E3-9099-C40C66FF867C}">
                  <a14:compatExt spid="_x0000_s81930"/>
                </a:ext>
                <a:ext uri="{FF2B5EF4-FFF2-40B4-BE49-F238E27FC236}">
                  <a16:creationId xmlns:a16="http://schemas.microsoft.com/office/drawing/2014/main" id="{00000000-0008-0000-2F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14</xdr:row>
          <xdr:rowOff>19050</xdr:rowOff>
        </xdr:from>
        <xdr:to>
          <xdr:col>4</xdr:col>
          <xdr:colOff>412750</xdr:colOff>
          <xdr:row>14</xdr:row>
          <xdr:rowOff>228600</xdr:rowOff>
        </xdr:to>
        <xdr:sp macro="" textlink="">
          <xdr:nvSpPr>
            <xdr:cNvPr id="81931" name="Option Button 11" hidden="1">
              <a:extLst>
                <a:ext uri="{63B3BB69-23CF-44E3-9099-C40C66FF867C}">
                  <a14:compatExt spid="_x0000_s81931"/>
                </a:ext>
                <a:ext uri="{FF2B5EF4-FFF2-40B4-BE49-F238E27FC236}">
                  <a16:creationId xmlns:a16="http://schemas.microsoft.com/office/drawing/2014/main" id="{00000000-0008-0000-2F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19050</xdr:rowOff>
        </xdr:from>
        <xdr:to>
          <xdr:col>5</xdr:col>
          <xdr:colOff>412750</xdr:colOff>
          <xdr:row>14</xdr:row>
          <xdr:rowOff>228600</xdr:rowOff>
        </xdr:to>
        <xdr:sp macro="" textlink="">
          <xdr:nvSpPr>
            <xdr:cNvPr id="81932" name="Option Button 12" hidden="1">
              <a:extLst>
                <a:ext uri="{63B3BB69-23CF-44E3-9099-C40C66FF867C}">
                  <a14:compatExt spid="_x0000_s81932"/>
                </a:ext>
                <a:ext uri="{FF2B5EF4-FFF2-40B4-BE49-F238E27FC236}">
                  <a16:creationId xmlns:a16="http://schemas.microsoft.com/office/drawing/2014/main" id="{00000000-0008-0000-2F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14</xdr:row>
          <xdr:rowOff>19050</xdr:rowOff>
        </xdr:from>
        <xdr:to>
          <xdr:col>6</xdr:col>
          <xdr:colOff>412750</xdr:colOff>
          <xdr:row>14</xdr:row>
          <xdr:rowOff>228600</xdr:rowOff>
        </xdr:to>
        <xdr:sp macro="" textlink="">
          <xdr:nvSpPr>
            <xdr:cNvPr id="81933" name="Option Button 13" hidden="1">
              <a:extLst>
                <a:ext uri="{63B3BB69-23CF-44E3-9099-C40C66FF867C}">
                  <a14:compatExt spid="_x0000_s81933"/>
                </a:ext>
                <a:ext uri="{FF2B5EF4-FFF2-40B4-BE49-F238E27FC236}">
                  <a16:creationId xmlns:a16="http://schemas.microsoft.com/office/drawing/2014/main" id="{00000000-0008-0000-2F00-00000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19050</xdr:rowOff>
        </xdr:from>
        <xdr:to>
          <xdr:col>3</xdr:col>
          <xdr:colOff>412750</xdr:colOff>
          <xdr:row>15</xdr:row>
          <xdr:rowOff>228600</xdr:rowOff>
        </xdr:to>
        <xdr:sp macro="" textlink="">
          <xdr:nvSpPr>
            <xdr:cNvPr id="81934" name="Option Button 14" hidden="1">
              <a:extLst>
                <a:ext uri="{63B3BB69-23CF-44E3-9099-C40C66FF867C}">
                  <a14:compatExt spid="_x0000_s81934"/>
                </a:ext>
                <a:ext uri="{FF2B5EF4-FFF2-40B4-BE49-F238E27FC236}">
                  <a16:creationId xmlns:a16="http://schemas.microsoft.com/office/drawing/2014/main" id="{00000000-0008-0000-2F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15</xdr:row>
          <xdr:rowOff>19050</xdr:rowOff>
        </xdr:from>
        <xdr:to>
          <xdr:col>4</xdr:col>
          <xdr:colOff>412750</xdr:colOff>
          <xdr:row>15</xdr:row>
          <xdr:rowOff>228600</xdr:rowOff>
        </xdr:to>
        <xdr:sp macro="" textlink="">
          <xdr:nvSpPr>
            <xdr:cNvPr id="81935" name="Option Button 15" hidden="1">
              <a:extLst>
                <a:ext uri="{63B3BB69-23CF-44E3-9099-C40C66FF867C}">
                  <a14:compatExt spid="_x0000_s81935"/>
                </a:ext>
                <a:ext uri="{FF2B5EF4-FFF2-40B4-BE49-F238E27FC236}">
                  <a16:creationId xmlns:a16="http://schemas.microsoft.com/office/drawing/2014/main" id="{00000000-0008-0000-2F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15</xdr:row>
          <xdr:rowOff>19050</xdr:rowOff>
        </xdr:from>
        <xdr:to>
          <xdr:col>5</xdr:col>
          <xdr:colOff>412750</xdr:colOff>
          <xdr:row>15</xdr:row>
          <xdr:rowOff>228600</xdr:rowOff>
        </xdr:to>
        <xdr:sp macro="" textlink="">
          <xdr:nvSpPr>
            <xdr:cNvPr id="81936" name="Option Button 16" hidden="1">
              <a:extLst>
                <a:ext uri="{63B3BB69-23CF-44E3-9099-C40C66FF867C}">
                  <a14:compatExt spid="_x0000_s81936"/>
                </a:ext>
                <a:ext uri="{FF2B5EF4-FFF2-40B4-BE49-F238E27FC236}">
                  <a16:creationId xmlns:a16="http://schemas.microsoft.com/office/drawing/2014/main" id="{00000000-0008-0000-2F00-00001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15</xdr:row>
          <xdr:rowOff>19050</xdr:rowOff>
        </xdr:from>
        <xdr:to>
          <xdr:col>6</xdr:col>
          <xdr:colOff>412750</xdr:colOff>
          <xdr:row>15</xdr:row>
          <xdr:rowOff>228600</xdr:rowOff>
        </xdr:to>
        <xdr:sp macro="" textlink="">
          <xdr:nvSpPr>
            <xdr:cNvPr id="81937" name="Option Button 17" hidden="1">
              <a:extLst>
                <a:ext uri="{63B3BB69-23CF-44E3-9099-C40C66FF867C}">
                  <a14:compatExt spid="_x0000_s81937"/>
                </a:ext>
                <a:ext uri="{FF2B5EF4-FFF2-40B4-BE49-F238E27FC236}">
                  <a16:creationId xmlns:a16="http://schemas.microsoft.com/office/drawing/2014/main" id="{00000000-0008-0000-2F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19050</xdr:rowOff>
        </xdr:from>
        <xdr:to>
          <xdr:col>3</xdr:col>
          <xdr:colOff>412750</xdr:colOff>
          <xdr:row>16</xdr:row>
          <xdr:rowOff>228600</xdr:rowOff>
        </xdr:to>
        <xdr:sp macro="" textlink="">
          <xdr:nvSpPr>
            <xdr:cNvPr id="81938" name="Option Button 18" hidden="1">
              <a:extLst>
                <a:ext uri="{63B3BB69-23CF-44E3-9099-C40C66FF867C}">
                  <a14:compatExt spid="_x0000_s81938"/>
                </a:ext>
                <a:ext uri="{FF2B5EF4-FFF2-40B4-BE49-F238E27FC236}">
                  <a16:creationId xmlns:a16="http://schemas.microsoft.com/office/drawing/2014/main" id="{00000000-0008-0000-2F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16</xdr:row>
          <xdr:rowOff>19050</xdr:rowOff>
        </xdr:from>
        <xdr:to>
          <xdr:col>4</xdr:col>
          <xdr:colOff>412750</xdr:colOff>
          <xdr:row>16</xdr:row>
          <xdr:rowOff>228600</xdr:rowOff>
        </xdr:to>
        <xdr:sp macro="" textlink="">
          <xdr:nvSpPr>
            <xdr:cNvPr id="81939" name="Option Button 19" hidden="1">
              <a:extLst>
                <a:ext uri="{63B3BB69-23CF-44E3-9099-C40C66FF867C}">
                  <a14:compatExt spid="_x0000_s81939"/>
                </a:ext>
                <a:ext uri="{FF2B5EF4-FFF2-40B4-BE49-F238E27FC236}">
                  <a16:creationId xmlns:a16="http://schemas.microsoft.com/office/drawing/2014/main" id="{00000000-0008-0000-2F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16</xdr:row>
          <xdr:rowOff>19050</xdr:rowOff>
        </xdr:from>
        <xdr:to>
          <xdr:col>5</xdr:col>
          <xdr:colOff>412750</xdr:colOff>
          <xdr:row>16</xdr:row>
          <xdr:rowOff>228600</xdr:rowOff>
        </xdr:to>
        <xdr:sp macro="" textlink="">
          <xdr:nvSpPr>
            <xdr:cNvPr id="81940" name="Option Button 20" hidden="1">
              <a:extLst>
                <a:ext uri="{63B3BB69-23CF-44E3-9099-C40C66FF867C}">
                  <a14:compatExt spid="_x0000_s81940"/>
                </a:ext>
                <a:ext uri="{FF2B5EF4-FFF2-40B4-BE49-F238E27FC236}">
                  <a16:creationId xmlns:a16="http://schemas.microsoft.com/office/drawing/2014/main" id="{00000000-0008-0000-2F00-00001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16</xdr:row>
          <xdr:rowOff>19050</xdr:rowOff>
        </xdr:from>
        <xdr:to>
          <xdr:col>6</xdr:col>
          <xdr:colOff>412750</xdr:colOff>
          <xdr:row>16</xdr:row>
          <xdr:rowOff>228600</xdr:rowOff>
        </xdr:to>
        <xdr:sp macro="" textlink="">
          <xdr:nvSpPr>
            <xdr:cNvPr id="81941" name="Option Button 21" hidden="1">
              <a:extLst>
                <a:ext uri="{63B3BB69-23CF-44E3-9099-C40C66FF867C}">
                  <a14:compatExt spid="_x0000_s81941"/>
                </a:ext>
                <a:ext uri="{FF2B5EF4-FFF2-40B4-BE49-F238E27FC236}">
                  <a16:creationId xmlns:a16="http://schemas.microsoft.com/office/drawing/2014/main" id="{00000000-0008-0000-2F00-00001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19050</xdr:rowOff>
        </xdr:from>
        <xdr:to>
          <xdr:col>3</xdr:col>
          <xdr:colOff>412750</xdr:colOff>
          <xdr:row>17</xdr:row>
          <xdr:rowOff>228600</xdr:rowOff>
        </xdr:to>
        <xdr:sp macro="" textlink="">
          <xdr:nvSpPr>
            <xdr:cNvPr id="81942" name="Option Button 22" hidden="1">
              <a:extLst>
                <a:ext uri="{63B3BB69-23CF-44E3-9099-C40C66FF867C}">
                  <a14:compatExt spid="_x0000_s81942"/>
                </a:ext>
                <a:ext uri="{FF2B5EF4-FFF2-40B4-BE49-F238E27FC236}">
                  <a16:creationId xmlns:a16="http://schemas.microsoft.com/office/drawing/2014/main" id="{00000000-0008-0000-2F00-00001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17</xdr:row>
          <xdr:rowOff>19050</xdr:rowOff>
        </xdr:from>
        <xdr:to>
          <xdr:col>4</xdr:col>
          <xdr:colOff>412750</xdr:colOff>
          <xdr:row>17</xdr:row>
          <xdr:rowOff>228600</xdr:rowOff>
        </xdr:to>
        <xdr:sp macro="" textlink="">
          <xdr:nvSpPr>
            <xdr:cNvPr id="81943" name="Option Button 23" hidden="1">
              <a:extLst>
                <a:ext uri="{63B3BB69-23CF-44E3-9099-C40C66FF867C}">
                  <a14:compatExt spid="_x0000_s81943"/>
                </a:ext>
                <a:ext uri="{FF2B5EF4-FFF2-40B4-BE49-F238E27FC236}">
                  <a16:creationId xmlns:a16="http://schemas.microsoft.com/office/drawing/2014/main" id="{00000000-0008-0000-2F00-00001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19050</xdr:rowOff>
        </xdr:from>
        <xdr:to>
          <xdr:col>5</xdr:col>
          <xdr:colOff>412750</xdr:colOff>
          <xdr:row>17</xdr:row>
          <xdr:rowOff>228600</xdr:rowOff>
        </xdr:to>
        <xdr:sp macro="" textlink="">
          <xdr:nvSpPr>
            <xdr:cNvPr id="81944" name="Option Button 24" hidden="1">
              <a:extLst>
                <a:ext uri="{63B3BB69-23CF-44E3-9099-C40C66FF867C}">
                  <a14:compatExt spid="_x0000_s81944"/>
                </a:ext>
                <a:ext uri="{FF2B5EF4-FFF2-40B4-BE49-F238E27FC236}">
                  <a16:creationId xmlns:a16="http://schemas.microsoft.com/office/drawing/2014/main" id="{00000000-0008-0000-2F00-00001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17</xdr:row>
          <xdr:rowOff>19050</xdr:rowOff>
        </xdr:from>
        <xdr:to>
          <xdr:col>6</xdr:col>
          <xdr:colOff>412750</xdr:colOff>
          <xdr:row>17</xdr:row>
          <xdr:rowOff>228600</xdr:rowOff>
        </xdr:to>
        <xdr:sp macro="" textlink="">
          <xdr:nvSpPr>
            <xdr:cNvPr id="81945" name="Option Button 25" hidden="1">
              <a:extLst>
                <a:ext uri="{63B3BB69-23CF-44E3-9099-C40C66FF867C}">
                  <a14:compatExt spid="_x0000_s81945"/>
                </a:ext>
                <a:ext uri="{FF2B5EF4-FFF2-40B4-BE49-F238E27FC236}">
                  <a16:creationId xmlns:a16="http://schemas.microsoft.com/office/drawing/2014/main" id="{00000000-0008-0000-2F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19050</xdr:rowOff>
        </xdr:from>
        <xdr:to>
          <xdr:col>3</xdr:col>
          <xdr:colOff>412750</xdr:colOff>
          <xdr:row>18</xdr:row>
          <xdr:rowOff>228600</xdr:rowOff>
        </xdr:to>
        <xdr:sp macro="" textlink="">
          <xdr:nvSpPr>
            <xdr:cNvPr id="81946" name="Option Button 26" hidden="1">
              <a:extLst>
                <a:ext uri="{63B3BB69-23CF-44E3-9099-C40C66FF867C}">
                  <a14:compatExt spid="_x0000_s81946"/>
                </a:ext>
                <a:ext uri="{FF2B5EF4-FFF2-40B4-BE49-F238E27FC236}">
                  <a16:creationId xmlns:a16="http://schemas.microsoft.com/office/drawing/2014/main" id="{00000000-0008-0000-2F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19050</xdr:rowOff>
        </xdr:from>
        <xdr:to>
          <xdr:col>4</xdr:col>
          <xdr:colOff>412750</xdr:colOff>
          <xdr:row>18</xdr:row>
          <xdr:rowOff>228600</xdr:rowOff>
        </xdr:to>
        <xdr:sp macro="" textlink="">
          <xdr:nvSpPr>
            <xdr:cNvPr id="81947" name="Option Button 27" hidden="1">
              <a:extLst>
                <a:ext uri="{63B3BB69-23CF-44E3-9099-C40C66FF867C}">
                  <a14:compatExt spid="_x0000_s81947"/>
                </a:ext>
                <a:ext uri="{FF2B5EF4-FFF2-40B4-BE49-F238E27FC236}">
                  <a16:creationId xmlns:a16="http://schemas.microsoft.com/office/drawing/2014/main" id="{00000000-0008-0000-2F00-00001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18</xdr:row>
          <xdr:rowOff>19050</xdr:rowOff>
        </xdr:from>
        <xdr:to>
          <xdr:col>5</xdr:col>
          <xdr:colOff>412750</xdr:colOff>
          <xdr:row>18</xdr:row>
          <xdr:rowOff>228600</xdr:rowOff>
        </xdr:to>
        <xdr:sp macro="" textlink="">
          <xdr:nvSpPr>
            <xdr:cNvPr id="81948" name="Option Button 28" hidden="1">
              <a:extLst>
                <a:ext uri="{63B3BB69-23CF-44E3-9099-C40C66FF867C}">
                  <a14:compatExt spid="_x0000_s81948"/>
                </a:ext>
                <a:ext uri="{FF2B5EF4-FFF2-40B4-BE49-F238E27FC236}">
                  <a16:creationId xmlns:a16="http://schemas.microsoft.com/office/drawing/2014/main" id="{00000000-0008-0000-2F00-00001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18</xdr:row>
          <xdr:rowOff>19050</xdr:rowOff>
        </xdr:from>
        <xdr:to>
          <xdr:col>6</xdr:col>
          <xdr:colOff>412750</xdr:colOff>
          <xdr:row>18</xdr:row>
          <xdr:rowOff>228600</xdr:rowOff>
        </xdr:to>
        <xdr:sp macro="" textlink="">
          <xdr:nvSpPr>
            <xdr:cNvPr id="81949" name="Option Button 29" hidden="1">
              <a:extLst>
                <a:ext uri="{63B3BB69-23CF-44E3-9099-C40C66FF867C}">
                  <a14:compatExt spid="_x0000_s81949"/>
                </a:ext>
                <a:ext uri="{FF2B5EF4-FFF2-40B4-BE49-F238E27FC236}">
                  <a16:creationId xmlns:a16="http://schemas.microsoft.com/office/drawing/2014/main" id="{00000000-0008-0000-2F00-00001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19</xdr:row>
          <xdr:rowOff>19050</xdr:rowOff>
        </xdr:from>
        <xdr:to>
          <xdr:col>3</xdr:col>
          <xdr:colOff>412750</xdr:colOff>
          <xdr:row>19</xdr:row>
          <xdr:rowOff>228600</xdr:rowOff>
        </xdr:to>
        <xdr:sp macro="" textlink="">
          <xdr:nvSpPr>
            <xdr:cNvPr id="81950" name="Option Button 30" hidden="1">
              <a:extLst>
                <a:ext uri="{63B3BB69-23CF-44E3-9099-C40C66FF867C}">
                  <a14:compatExt spid="_x0000_s81950"/>
                </a:ext>
                <a:ext uri="{FF2B5EF4-FFF2-40B4-BE49-F238E27FC236}">
                  <a16:creationId xmlns:a16="http://schemas.microsoft.com/office/drawing/2014/main" id="{00000000-0008-0000-2F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19</xdr:row>
          <xdr:rowOff>19050</xdr:rowOff>
        </xdr:from>
        <xdr:to>
          <xdr:col>4</xdr:col>
          <xdr:colOff>412750</xdr:colOff>
          <xdr:row>19</xdr:row>
          <xdr:rowOff>228600</xdr:rowOff>
        </xdr:to>
        <xdr:sp macro="" textlink="">
          <xdr:nvSpPr>
            <xdr:cNvPr id="81951" name="Option Button 31" hidden="1">
              <a:extLst>
                <a:ext uri="{63B3BB69-23CF-44E3-9099-C40C66FF867C}">
                  <a14:compatExt spid="_x0000_s81951"/>
                </a:ext>
                <a:ext uri="{FF2B5EF4-FFF2-40B4-BE49-F238E27FC236}">
                  <a16:creationId xmlns:a16="http://schemas.microsoft.com/office/drawing/2014/main" id="{00000000-0008-0000-2F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19</xdr:row>
          <xdr:rowOff>19050</xdr:rowOff>
        </xdr:from>
        <xdr:to>
          <xdr:col>5</xdr:col>
          <xdr:colOff>412750</xdr:colOff>
          <xdr:row>19</xdr:row>
          <xdr:rowOff>228600</xdr:rowOff>
        </xdr:to>
        <xdr:sp macro="" textlink="">
          <xdr:nvSpPr>
            <xdr:cNvPr id="81952" name="Option Button 32" hidden="1">
              <a:extLst>
                <a:ext uri="{63B3BB69-23CF-44E3-9099-C40C66FF867C}">
                  <a14:compatExt spid="_x0000_s81952"/>
                </a:ext>
                <a:ext uri="{FF2B5EF4-FFF2-40B4-BE49-F238E27FC236}">
                  <a16:creationId xmlns:a16="http://schemas.microsoft.com/office/drawing/2014/main" id="{00000000-0008-0000-2F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19</xdr:row>
          <xdr:rowOff>19050</xdr:rowOff>
        </xdr:from>
        <xdr:to>
          <xdr:col>6</xdr:col>
          <xdr:colOff>412750</xdr:colOff>
          <xdr:row>19</xdr:row>
          <xdr:rowOff>228600</xdr:rowOff>
        </xdr:to>
        <xdr:sp macro="" textlink="">
          <xdr:nvSpPr>
            <xdr:cNvPr id="81953" name="Option Button 33" hidden="1">
              <a:extLst>
                <a:ext uri="{63B3BB69-23CF-44E3-9099-C40C66FF867C}">
                  <a14:compatExt spid="_x0000_s81953"/>
                </a:ext>
                <a:ext uri="{FF2B5EF4-FFF2-40B4-BE49-F238E27FC236}">
                  <a16:creationId xmlns:a16="http://schemas.microsoft.com/office/drawing/2014/main" id="{00000000-0008-0000-2F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19050</xdr:rowOff>
        </xdr:from>
        <xdr:to>
          <xdr:col>3</xdr:col>
          <xdr:colOff>412750</xdr:colOff>
          <xdr:row>20</xdr:row>
          <xdr:rowOff>228600</xdr:rowOff>
        </xdr:to>
        <xdr:sp macro="" textlink="">
          <xdr:nvSpPr>
            <xdr:cNvPr id="81954" name="Option Button 34" hidden="1">
              <a:extLst>
                <a:ext uri="{63B3BB69-23CF-44E3-9099-C40C66FF867C}">
                  <a14:compatExt spid="_x0000_s81954"/>
                </a:ext>
                <a:ext uri="{FF2B5EF4-FFF2-40B4-BE49-F238E27FC236}">
                  <a16:creationId xmlns:a16="http://schemas.microsoft.com/office/drawing/2014/main" id="{00000000-0008-0000-2F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20</xdr:row>
          <xdr:rowOff>19050</xdr:rowOff>
        </xdr:from>
        <xdr:to>
          <xdr:col>4</xdr:col>
          <xdr:colOff>412750</xdr:colOff>
          <xdr:row>20</xdr:row>
          <xdr:rowOff>228600</xdr:rowOff>
        </xdr:to>
        <xdr:sp macro="" textlink="">
          <xdr:nvSpPr>
            <xdr:cNvPr id="81955" name="Option Button 35" hidden="1">
              <a:extLst>
                <a:ext uri="{63B3BB69-23CF-44E3-9099-C40C66FF867C}">
                  <a14:compatExt spid="_x0000_s81955"/>
                </a:ext>
                <a:ext uri="{FF2B5EF4-FFF2-40B4-BE49-F238E27FC236}">
                  <a16:creationId xmlns:a16="http://schemas.microsoft.com/office/drawing/2014/main" id="{00000000-0008-0000-2F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20</xdr:row>
          <xdr:rowOff>19050</xdr:rowOff>
        </xdr:from>
        <xdr:to>
          <xdr:col>5</xdr:col>
          <xdr:colOff>412750</xdr:colOff>
          <xdr:row>20</xdr:row>
          <xdr:rowOff>228600</xdr:rowOff>
        </xdr:to>
        <xdr:sp macro="" textlink="">
          <xdr:nvSpPr>
            <xdr:cNvPr id="81956" name="Option Button 36" hidden="1">
              <a:extLst>
                <a:ext uri="{63B3BB69-23CF-44E3-9099-C40C66FF867C}">
                  <a14:compatExt spid="_x0000_s81956"/>
                </a:ext>
                <a:ext uri="{FF2B5EF4-FFF2-40B4-BE49-F238E27FC236}">
                  <a16:creationId xmlns:a16="http://schemas.microsoft.com/office/drawing/2014/main" id="{00000000-0008-0000-2F00-00002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20</xdr:row>
          <xdr:rowOff>19050</xdr:rowOff>
        </xdr:from>
        <xdr:to>
          <xdr:col>6</xdr:col>
          <xdr:colOff>412750</xdr:colOff>
          <xdr:row>20</xdr:row>
          <xdr:rowOff>228600</xdr:rowOff>
        </xdr:to>
        <xdr:sp macro="" textlink="">
          <xdr:nvSpPr>
            <xdr:cNvPr id="81957" name="Option Button 37" hidden="1">
              <a:extLst>
                <a:ext uri="{63B3BB69-23CF-44E3-9099-C40C66FF867C}">
                  <a14:compatExt spid="_x0000_s81957"/>
                </a:ext>
                <a:ext uri="{FF2B5EF4-FFF2-40B4-BE49-F238E27FC236}">
                  <a16:creationId xmlns:a16="http://schemas.microsoft.com/office/drawing/2014/main" id="{00000000-0008-0000-2F00-00002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19050</xdr:rowOff>
        </xdr:from>
        <xdr:to>
          <xdr:col>3</xdr:col>
          <xdr:colOff>412750</xdr:colOff>
          <xdr:row>21</xdr:row>
          <xdr:rowOff>228600</xdr:rowOff>
        </xdr:to>
        <xdr:sp macro="" textlink="">
          <xdr:nvSpPr>
            <xdr:cNvPr id="81958" name="Option Button 38" hidden="1">
              <a:extLst>
                <a:ext uri="{63B3BB69-23CF-44E3-9099-C40C66FF867C}">
                  <a14:compatExt spid="_x0000_s81958"/>
                </a:ext>
                <a:ext uri="{FF2B5EF4-FFF2-40B4-BE49-F238E27FC236}">
                  <a16:creationId xmlns:a16="http://schemas.microsoft.com/office/drawing/2014/main" id="{00000000-0008-0000-2F00-00002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21</xdr:row>
          <xdr:rowOff>19050</xdr:rowOff>
        </xdr:from>
        <xdr:to>
          <xdr:col>4</xdr:col>
          <xdr:colOff>412750</xdr:colOff>
          <xdr:row>21</xdr:row>
          <xdr:rowOff>228600</xdr:rowOff>
        </xdr:to>
        <xdr:sp macro="" textlink="">
          <xdr:nvSpPr>
            <xdr:cNvPr id="81959" name="Option Button 39" hidden="1">
              <a:extLst>
                <a:ext uri="{63B3BB69-23CF-44E3-9099-C40C66FF867C}">
                  <a14:compatExt spid="_x0000_s81959"/>
                </a:ext>
                <a:ext uri="{FF2B5EF4-FFF2-40B4-BE49-F238E27FC236}">
                  <a16:creationId xmlns:a16="http://schemas.microsoft.com/office/drawing/2014/main" id="{00000000-0008-0000-2F00-00002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21</xdr:row>
          <xdr:rowOff>19050</xdr:rowOff>
        </xdr:from>
        <xdr:to>
          <xdr:col>5</xdr:col>
          <xdr:colOff>412750</xdr:colOff>
          <xdr:row>21</xdr:row>
          <xdr:rowOff>228600</xdr:rowOff>
        </xdr:to>
        <xdr:sp macro="" textlink="">
          <xdr:nvSpPr>
            <xdr:cNvPr id="81960" name="Option Button 40" hidden="1">
              <a:extLst>
                <a:ext uri="{63B3BB69-23CF-44E3-9099-C40C66FF867C}">
                  <a14:compatExt spid="_x0000_s81960"/>
                </a:ext>
                <a:ext uri="{FF2B5EF4-FFF2-40B4-BE49-F238E27FC236}">
                  <a16:creationId xmlns:a16="http://schemas.microsoft.com/office/drawing/2014/main" id="{00000000-0008-0000-2F00-00002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21</xdr:row>
          <xdr:rowOff>19050</xdr:rowOff>
        </xdr:from>
        <xdr:to>
          <xdr:col>6</xdr:col>
          <xdr:colOff>412750</xdr:colOff>
          <xdr:row>21</xdr:row>
          <xdr:rowOff>228600</xdr:rowOff>
        </xdr:to>
        <xdr:sp macro="" textlink="">
          <xdr:nvSpPr>
            <xdr:cNvPr id="81961" name="Option Button 41" hidden="1">
              <a:extLst>
                <a:ext uri="{63B3BB69-23CF-44E3-9099-C40C66FF867C}">
                  <a14:compatExt spid="_x0000_s81961"/>
                </a:ext>
                <a:ext uri="{FF2B5EF4-FFF2-40B4-BE49-F238E27FC236}">
                  <a16:creationId xmlns:a16="http://schemas.microsoft.com/office/drawing/2014/main" id="{00000000-0008-0000-2F00-00002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19050</xdr:rowOff>
        </xdr:from>
        <xdr:to>
          <xdr:col>3</xdr:col>
          <xdr:colOff>412750</xdr:colOff>
          <xdr:row>22</xdr:row>
          <xdr:rowOff>228600</xdr:rowOff>
        </xdr:to>
        <xdr:sp macro="" textlink="">
          <xdr:nvSpPr>
            <xdr:cNvPr id="81962" name="Option Button 42" hidden="1">
              <a:extLst>
                <a:ext uri="{63B3BB69-23CF-44E3-9099-C40C66FF867C}">
                  <a14:compatExt spid="_x0000_s81962"/>
                </a:ext>
                <a:ext uri="{FF2B5EF4-FFF2-40B4-BE49-F238E27FC236}">
                  <a16:creationId xmlns:a16="http://schemas.microsoft.com/office/drawing/2014/main" id="{00000000-0008-0000-2F00-00002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22</xdr:row>
          <xdr:rowOff>19050</xdr:rowOff>
        </xdr:from>
        <xdr:to>
          <xdr:col>4</xdr:col>
          <xdr:colOff>412750</xdr:colOff>
          <xdr:row>22</xdr:row>
          <xdr:rowOff>228600</xdr:rowOff>
        </xdr:to>
        <xdr:sp macro="" textlink="">
          <xdr:nvSpPr>
            <xdr:cNvPr id="81963" name="Option Button 43" hidden="1">
              <a:extLst>
                <a:ext uri="{63B3BB69-23CF-44E3-9099-C40C66FF867C}">
                  <a14:compatExt spid="_x0000_s81963"/>
                </a:ext>
                <a:ext uri="{FF2B5EF4-FFF2-40B4-BE49-F238E27FC236}">
                  <a16:creationId xmlns:a16="http://schemas.microsoft.com/office/drawing/2014/main" id="{00000000-0008-0000-2F00-00002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19050</xdr:rowOff>
        </xdr:from>
        <xdr:to>
          <xdr:col>5</xdr:col>
          <xdr:colOff>412750</xdr:colOff>
          <xdr:row>22</xdr:row>
          <xdr:rowOff>228600</xdr:rowOff>
        </xdr:to>
        <xdr:sp macro="" textlink="">
          <xdr:nvSpPr>
            <xdr:cNvPr id="81964" name="Option Button 44" hidden="1">
              <a:extLst>
                <a:ext uri="{63B3BB69-23CF-44E3-9099-C40C66FF867C}">
                  <a14:compatExt spid="_x0000_s81964"/>
                </a:ext>
                <a:ext uri="{FF2B5EF4-FFF2-40B4-BE49-F238E27FC236}">
                  <a16:creationId xmlns:a16="http://schemas.microsoft.com/office/drawing/2014/main" id="{00000000-0008-0000-2F00-00002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22</xdr:row>
          <xdr:rowOff>19050</xdr:rowOff>
        </xdr:from>
        <xdr:to>
          <xdr:col>6</xdr:col>
          <xdr:colOff>412750</xdr:colOff>
          <xdr:row>22</xdr:row>
          <xdr:rowOff>228600</xdr:rowOff>
        </xdr:to>
        <xdr:sp macro="" textlink="">
          <xdr:nvSpPr>
            <xdr:cNvPr id="81965" name="Option Button 45" hidden="1">
              <a:extLst>
                <a:ext uri="{63B3BB69-23CF-44E3-9099-C40C66FF867C}">
                  <a14:compatExt spid="_x0000_s81965"/>
                </a:ext>
                <a:ext uri="{FF2B5EF4-FFF2-40B4-BE49-F238E27FC236}">
                  <a16:creationId xmlns:a16="http://schemas.microsoft.com/office/drawing/2014/main" id="{00000000-0008-0000-2F00-00002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23</xdr:row>
          <xdr:rowOff>19050</xdr:rowOff>
        </xdr:from>
        <xdr:to>
          <xdr:col>3</xdr:col>
          <xdr:colOff>412750</xdr:colOff>
          <xdr:row>23</xdr:row>
          <xdr:rowOff>228600</xdr:rowOff>
        </xdr:to>
        <xdr:sp macro="" textlink="">
          <xdr:nvSpPr>
            <xdr:cNvPr id="81966" name="Option Button 46" hidden="1">
              <a:extLst>
                <a:ext uri="{63B3BB69-23CF-44E3-9099-C40C66FF867C}">
                  <a14:compatExt spid="_x0000_s81966"/>
                </a:ext>
                <a:ext uri="{FF2B5EF4-FFF2-40B4-BE49-F238E27FC236}">
                  <a16:creationId xmlns:a16="http://schemas.microsoft.com/office/drawing/2014/main" id="{00000000-0008-0000-2F00-00002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23</xdr:row>
          <xdr:rowOff>19050</xdr:rowOff>
        </xdr:from>
        <xdr:to>
          <xdr:col>4</xdr:col>
          <xdr:colOff>412750</xdr:colOff>
          <xdr:row>23</xdr:row>
          <xdr:rowOff>228600</xdr:rowOff>
        </xdr:to>
        <xdr:sp macro="" textlink="">
          <xdr:nvSpPr>
            <xdr:cNvPr id="81967" name="Option Button 47" hidden="1">
              <a:extLst>
                <a:ext uri="{63B3BB69-23CF-44E3-9099-C40C66FF867C}">
                  <a14:compatExt spid="_x0000_s81967"/>
                </a:ext>
                <a:ext uri="{FF2B5EF4-FFF2-40B4-BE49-F238E27FC236}">
                  <a16:creationId xmlns:a16="http://schemas.microsoft.com/office/drawing/2014/main" id="{00000000-0008-0000-2F00-00002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19050</xdr:rowOff>
        </xdr:from>
        <xdr:to>
          <xdr:col>5</xdr:col>
          <xdr:colOff>412750</xdr:colOff>
          <xdr:row>23</xdr:row>
          <xdr:rowOff>228600</xdr:rowOff>
        </xdr:to>
        <xdr:sp macro="" textlink="">
          <xdr:nvSpPr>
            <xdr:cNvPr id="81968" name="Option Button 48" hidden="1">
              <a:extLst>
                <a:ext uri="{63B3BB69-23CF-44E3-9099-C40C66FF867C}">
                  <a14:compatExt spid="_x0000_s81968"/>
                </a:ext>
                <a:ext uri="{FF2B5EF4-FFF2-40B4-BE49-F238E27FC236}">
                  <a16:creationId xmlns:a16="http://schemas.microsoft.com/office/drawing/2014/main" id="{00000000-0008-0000-2F00-00003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23</xdr:row>
          <xdr:rowOff>19050</xdr:rowOff>
        </xdr:from>
        <xdr:to>
          <xdr:col>6</xdr:col>
          <xdr:colOff>412750</xdr:colOff>
          <xdr:row>23</xdr:row>
          <xdr:rowOff>228600</xdr:rowOff>
        </xdr:to>
        <xdr:sp macro="" textlink="">
          <xdr:nvSpPr>
            <xdr:cNvPr id="81969" name="Option Button 49" hidden="1">
              <a:extLst>
                <a:ext uri="{63B3BB69-23CF-44E3-9099-C40C66FF867C}">
                  <a14:compatExt spid="_x0000_s81969"/>
                </a:ext>
                <a:ext uri="{FF2B5EF4-FFF2-40B4-BE49-F238E27FC236}">
                  <a16:creationId xmlns:a16="http://schemas.microsoft.com/office/drawing/2014/main" id="{00000000-0008-0000-2F00-00003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24</xdr:row>
          <xdr:rowOff>19050</xdr:rowOff>
        </xdr:from>
        <xdr:to>
          <xdr:col>3</xdr:col>
          <xdr:colOff>412750</xdr:colOff>
          <xdr:row>24</xdr:row>
          <xdr:rowOff>228600</xdr:rowOff>
        </xdr:to>
        <xdr:sp macro="" textlink="">
          <xdr:nvSpPr>
            <xdr:cNvPr id="81970" name="Option Button 50" hidden="1">
              <a:extLst>
                <a:ext uri="{63B3BB69-23CF-44E3-9099-C40C66FF867C}">
                  <a14:compatExt spid="_x0000_s81970"/>
                </a:ext>
                <a:ext uri="{FF2B5EF4-FFF2-40B4-BE49-F238E27FC236}">
                  <a16:creationId xmlns:a16="http://schemas.microsoft.com/office/drawing/2014/main" id="{00000000-0008-0000-2F00-00003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24</xdr:row>
          <xdr:rowOff>19050</xdr:rowOff>
        </xdr:from>
        <xdr:to>
          <xdr:col>4</xdr:col>
          <xdr:colOff>412750</xdr:colOff>
          <xdr:row>24</xdr:row>
          <xdr:rowOff>228600</xdr:rowOff>
        </xdr:to>
        <xdr:sp macro="" textlink="">
          <xdr:nvSpPr>
            <xdr:cNvPr id="81971" name="Option Button 51" hidden="1">
              <a:extLst>
                <a:ext uri="{63B3BB69-23CF-44E3-9099-C40C66FF867C}">
                  <a14:compatExt spid="_x0000_s81971"/>
                </a:ext>
                <a:ext uri="{FF2B5EF4-FFF2-40B4-BE49-F238E27FC236}">
                  <a16:creationId xmlns:a16="http://schemas.microsoft.com/office/drawing/2014/main" id="{00000000-0008-0000-2F00-00003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24</xdr:row>
          <xdr:rowOff>19050</xdr:rowOff>
        </xdr:from>
        <xdr:to>
          <xdr:col>5</xdr:col>
          <xdr:colOff>412750</xdr:colOff>
          <xdr:row>24</xdr:row>
          <xdr:rowOff>228600</xdr:rowOff>
        </xdr:to>
        <xdr:sp macro="" textlink="">
          <xdr:nvSpPr>
            <xdr:cNvPr id="81972" name="Option Button 52" hidden="1">
              <a:extLst>
                <a:ext uri="{63B3BB69-23CF-44E3-9099-C40C66FF867C}">
                  <a14:compatExt spid="_x0000_s81972"/>
                </a:ext>
                <a:ext uri="{FF2B5EF4-FFF2-40B4-BE49-F238E27FC236}">
                  <a16:creationId xmlns:a16="http://schemas.microsoft.com/office/drawing/2014/main" id="{00000000-0008-0000-2F00-00003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24</xdr:row>
          <xdr:rowOff>19050</xdr:rowOff>
        </xdr:from>
        <xdr:to>
          <xdr:col>6</xdr:col>
          <xdr:colOff>412750</xdr:colOff>
          <xdr:row>24</xdr:row>
          <xdr:rowOff>228600</xdr:rowOff>
        </xdr:to>
        <xdr:sp macro="" textlink="">
          <xdr:nvSpPr>
            <xdr:cNvPr id="81973" name="Option Button 53" hidden="1">
              <a:extLst>
                <a:ext uri="{63B3BB69-23CF-44E3-9099-C40C66FF867C}">
                  <a14:compatExt spid="_x0000_s81973"/>
                </a:ext>
                <a:ext uri="{FF2B5EF4-FFF2-40B4-BE49-F238E27FC236}">
                  <a16:creationId xmlns:a16="http://schemas.microsoft.com/office/drawing/2014/main" id="{00000000-0008-0000-2F00-00003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25</xdr:row>
          <xdr:rowOff>19050</xdr:rowOff>
        </xdr:from>
        <xdr:to>
          <xdr:col>3</xdr:col>
          <xdr:colOff>412750</xdr:colOff>
          <xdr:row>25</xdr:row>
          <xdr:rowOff>228600</xdr:rowOff>
        </xdr:to>
        <xdr:sp macro="" textlink="">
          <xdr:nvSpPr>
            <xdr:cNvPr id="81974" name="Option Button 54" hidden="1">
              <a:extLst>
                <a:ext uri="{63B3BB69-23CF-44E3-9099-C40C66FF867C}">
                  <a14:compatExt spid="_x0000_s81974"/>
                </a:ext>
                <a:ext uri="{FF2B5EF4-FFF2-40B4-BE49-F238E27FC236}">
                  <a16:creationId xmlns:a16="http://schemas.microsoft.com/office/drawing/2014/main" id="{00000000-0008-0000-2F00-00003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25</xdr:row>
          <xdr:rowOff>19050</xdr:rowOff>
        </xdr:from>
        <xdr:to>
          <xdr:col>4</xdr:col>
          <xdr:colOff>412750</xdr:colOff>
          <xdr:row>25</xdr:row>
          <xdr:rowOff>228600</xdr:rowOff>
        </xdr:to>
        <xdr:sp macro="" textlink="">
          <xdr:nvSpPr>
            <xdr:cNvPr id="81975" name="Option Button 55" hidden="1">
              <a:extLst>
                <a:ext uri="{63B3BB69-23CF-44E3-9099-C40C66FF867C}">
                  <a14:compatExt spid="_x0000_s81975"/>
                </a:ext>
                <a:ext uri="{FF2B5EF4-FFF2-40B4-BE49-F238E27FC236}">
                  <a16:creationId xmlns:a16="http://schemas.microsoft.com/office/drawing/2014/main" id="{00000000-0008-0000-2F00-00003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25</xdr:row>
          <xdr:rowOff>19050</xdr:rowOff>
        </xdr:from>
        <xdr:to>
          <xdr:col>5</xdr:col>
          <xdr:colOff>412750</xdr:colOff>
          <xdr:row>25</xdr:row>
          <xdr:rowOff>228600</xdr:rowOff>
        </xdr:to>
        <xdr:sp macro="" textlink="">
          <xdr:nvSpPr>
            <xdr:cNvPr id="81976" name="Option Button 56" hidden="1">
              <a:extLst>
                <a:ext uri="{63B3BB69-23CF-44E3-9099-C40C66FF867C}">
                  <a14:compatExt spid="_x0000_s81976"/>
                </a:ext>
                <a:ext uri="{FF2B5EF4-FFF2-40B4-BE49-F238E27FC236}">
                  <a16:creationId xmlns:a16="http://schemas.microsoft.com/office/drawing/2014/main" id="{00000000-0008-0000-2F00-00003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25</xdr:row>
          <xdr:rowOff>19050</xdr:rowOff>
        </xdr:from>
        <xdr:to>
          <xdr:col>6</xdr:col>
          <xdr:colOff>412750</xdr:colOff>
          <xdr:row>25</xdr:row>
          <xdr:rowOff>228600</xdr:rowOff>
        </xdr:to>
        <xdr:sp macro="" textlink="">
          <xdr:nvSpPr>
            <xdr:cNvPr id="81977" name="Option Button 57" hidden="1">
              <a:extLst>
                <a:ext uri="{63B3BB69-23CF-44E3-9099-C40C66FF867C}">
                  <a14:compatExt spid="_x0000_s81977"/>
                </a:ext>
                <a:ext uri="{FF2B5EF4-FFF2-40B4-BE49-F238E27FC236}">
                  <a16:creationId xmlns:a16="http://schemas.microsoft.com/office/drawing/2014/main" id="{00000000-0008-0000-2F00-00003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26</xdr:row>
          <xdr:rowOff>19050</xdr:rowOff>
        </xdr:from>
        <xdr:to>
          <xdr:col>3</xdr:col>
          <xdr:colOff>412750</xdr:colOff>
          <xdr:row>26</xdr:row>
          <xdr:rowOff>228600</xdr:rowOff>
        </xdr:to>
        <xdr:sp macro="" textlink="">
          <xdr:nvSpPr>
            <xdr:cNvPr id="81978" name="Option Button 58" hidden="1">
              <a:extLst>
                <a:ext uri="{63B3BB69-23CF-44E3-9099-C40C66FF867C}">
                  <a14:compatExt spid="_x0000_s81978"/>
                </a:ext>
                <a:ext uri="{FF2B5EF4-FFF2-40B4-BE49-F238E27FC236}">
                  <a16:creationId xmlns:a16="http://schemas.microsoft.com/office/drawing/2014/main" id="{00000000-0008-0000-2F00-00003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19050</xdr:rowOff>
        </xdr:from>
        <xdr:to>
          <xdr:col>4</xdr:col>
          <xdr:colOff>412750</xdr:colOff>
          <xdr:row>26</xdr:row>
          <xdr:rowOff>228600</xdr:rowOff>
        </xdr:to>
        <xdr:sp macro="" textlink="">
          <xdr:nvSpPr>
            <xdr:cNvPr id="81979" name="Option Button 59" hidden="1">
              <a:extLst>
                <a:ext uri="{63B3BB69-23CF-44E3-9099-C40C66FF867C}">
                  <a14:compatExt spid="_x0000_s81979"/>
                </a:ext>
                <a:ext uri="{FF2B5EF4-FFF2-40B4-BE49-F238E27FC236}">
                  <a16:creationId xmlns:a16="http://schemas.microsoft.com/office/drawing/2014/main" id="{00000000-0008-0000-2F00-00003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26</xdr:row>
          <xdr:rowOff>19050</xdr:rowOff>
        </xdr:from>
        <xdr:to>
          <xdr:col>5</xdr:col>
          <xdr:colOff>412750</xdr:colOff>
          <xdr:row>26</xdr:row>
          <xdr:rowOff>228600</xdr:rowOff>
        </xdr:to>
        <xdr:sp macro="" textlink="">
          <xdr:nvSpPr>
            <xdr:cNvPr id="81980" name="Option Button 60" hidden="1">
              <a:extLst>
                <a:ext uri="{63B3BB69-23CF-44E3-9099-C40C66FF867C}">
                  <a14:compatExt spid="_x0000_s81980"/>
                </a:ext>
                <a:ext uri="{FF2B5EF4-FFF2-40B4-BE49-F238E27FC236}">
                  <a16:creationId xmlns:a16="http://schemas.microsoft.com/office/drawing/2014/main" id="{00000000-0008-0000-2F00-00003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26</xdr:row>
          <xdr:rowOff>19050</xdr:rowOff>
        </xdr:from>
        <xdr:to>
          <xdr:col>6</xdr:col>
          <xdr:colOff>412750</xdr:colOff>
          <xdr:row>26</xdr:row>
          <xdr:rowOff>228600</xdr:rowOff>
        </xdr:to>
        <xdr:sp macro="" textlink="">
          <xdr:nvSpPr>
            <xdr:cNvPr id="81981" name="Option Button 61" hidden="1">
              <a:extLst>
                <a:ext uri="{63B3BB69-23CF-44E3-9099-C40C66FF867C}">
                  <a14:compatExt spid="_x0000_s81981"/>
                </a:ext>
                <a:ext uri="{FF2B5EF4-FFF2-40B4-BE49-F238E27FC236}">
                  <a16:creationId xmlns:a16="http://schemas.microsoft.com/office/drawing/2014/main" id="{00000000-0008-0000-2F00-00003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27</xdr:row>
          <xdr:rowOff>19050</xdr:rowOff>
        </xdr:from>
        <xdr:to>
          <xdr:col>3</xdr:col>
          <xdr:colOff>412750</xdr:colOff>
          <xdr:row>27</xdr:row>
          <xdr:rowOff>228600</xdr:rowOff>
        </xdr:to>
        <xdr:sp macro="" textlink="">
          <xdr:nvSpPr>
            <xdr:cNvPr id="81982" name="Option Button 62" hidden="1">
              <a:extLst>
                <a:ext uri="{63B3BB69-23CF-44E3-9099-C40C66FF867C}">
                  <a14:compatExt spid="_x0000_s81982"/>
                </a:ext>
                <a:ext uri="{FF2B5EF4-FFF2-40B4-BE49-F238E27FC236}">
                  <a16:creationId xmlns:a16="http://schemas.microsoft.com/office/drawing/2014/main" id="{00000000-0008-0000-2F00-00003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27</xdr:row>
          <xdr:rowOff>19050</xdr:rowOff>
        </xdr:from>
        <xdr:to>
          <xdr:col>4</xdr:col>
          <xdr:colOff>412750</xdr:colOff>
          <xdr:row>27</xdr:row>
          <xdr:rowOff>228600</xdr:rowOff>
        </xdr:to>
        <xdr:sp macro="" textlink="">
          <xdr:nvSpPr>
            <xdr:cNvPr id="81983" name="Option Button 63" hidden="1">
              <a:extLst>
                <a:ext uri="{63B3BB69-23CF-44E3-9099-C40C66FF867C}">
                  <a14:compatExt spid="_x0000_s81983"/>
                </a:ext>
                <a:ext uri="{FF2B5EF4-FFF2-40B4-BE49-F238E27FC236}">
                  <a16:creationId xmlns:a16="http://schemas.microsoft.com/office/drawing/2014/main" id="{00000000-0008-0000-2F00-00003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27</xdr:row>
          <xdr:rowOff>19050</xdr:rowOff>
        </xdr:from>
        <xdr:to>
          <xdr:col>5</xdr:col>
          <xdr:colOff>412750</xdr:colOff>
          <xdr:row>27</xdr:row>
          <xdr:rowOff>228600</xdr:rowOff>
        </xdr:to>
        <xdr:sp macro="" textlink="">
          <xdr:nvSpPr>
            <xdr:cNvPr id="81984" name="Option Button 64" hidden="1">
              <a:extLst>
                <a:ext uri="{63B3BB69-23CF-44E3-9099-C40C66FF867C}">
                  <a14:compatExt spid="_x0000_s81984"/>
                </a:ext>
                <a:ext uri="{FF2B5EF4-FFF2-40B4-BE49-F238E27FC236}">
                  <a16:creationId xmlns:a16="http://schemas.microsoft.com/office/drawing/2014/main" id="{00000000-0008-0000-2F00-00004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27</xdr:row>
          <xdr:rowOff>19050</xdr:rowOff>
        </xdr:from>
        <xdr:to>
          <xdr:col>6</xdr:col>
          <xdr:colOff>412750</xdr:colOff>
          <xdr:row>27</xdr:row>
          <xdr:rowOff>228600</xdr:rowOff>
        </xdr:to>
        <xdr:sp macro="" textlink="">
          <xdr:nvSpPr>
            <xdr:cNvPr id="81985" name="Option Button 65" hidden="1">
              <a:extLst>
                <a:ext uri="{63B3BB69-23CF-44E3-9099-C40C66FF867C}">
                  <a14:compatExt spid="_x0000_s81985"/>
                </a:ext>
                <a:ext uri="{FF2B5EF4-FFF2-40B4-BE49-F238E27FC236}">
                  <a16:creationId xmlns:a16="http://schemas.microsoft.com/office/drawing/2014/main" id="{00000000-0008-0000-2F00-00004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28</xdr:row>
          <xdr:rowOff>19050</xdr:rowOff>
        </xdr:from>
        <xdr:to>
          <xdr:col>3</xdr:col>
          <xdr:colOff>412750</xdr:colOff>
          <xdr:row>28</xdr:row>
          <xdr:rowOff>228600</xdr:rowOff>
        </xdr:to>
        <xdr:sp macro="" textlink="">
          <xdr:nvSpPr>
            <xdr:cNvPr id="81986" name="Option Button 66" hidden="1">
              <a:extLst>
                <a:ext uri="{63B3BB69-23CF-44E3-9099-C40C66FF867C}">
                  <a14:compatExt spid="_x0000_s81986"/>
                </a:ext>
                <a:ext uri="{FF2B5EF4-FFF2-40B4-BE49-F238E27FC236}">
                  <a16:creationId xmlns:a16="http://schemas.microsoft.com/office/drawing/2014/main" id="{00000000-0008-0000-2F00-00004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28</xdr:row>
          <xdr:rowOff>19050</xdr:rowOff>
        </xdr:from>
        <xdr:to>
          <xdr:col>4</xdr:col>
          <xdr:colOff>412750</xdr:colOff>
          <xdr:row>28</xdr:row>
          <xdr:rowOff>228600</xdr:rowOff>
        </xdr:to>
        <xdr:sp macro="" textlink="">
          <xdr:nvSpPr>
            <xdr:cNvPr id="81987" name="Option Button 67" hidden="1">
              <a:extLst>
                <a:ext uri="{63B3BB69-23CF-44E3-9099-C40C66FF867C}">
                  <a14:compatExt spid="_x0000_s81987"/>
                </a:ext>
                <a:ext uri="{FF2B5EF4-FFF2-40B4-BE49-F238E27FC236}">
                  <a16:creationId xmlns:a16="http://schemas.microsoft.com/office/drawing/2014/main" id="{00000000-0008-0000-2F00-00004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28</xdr:row>
          <xdr:rowOff>19050</xdr:rowOff>
        </xdr:from>
        <xdr:to>
          <xdr:col>5</xdr:col>
          <xdr:colOff>412750</xdr:colOff>
          <xdr:row>28</xdr:row>
          <xdr:rowOff>228600</xdr:rowOff>
        </xdr:to>
        <xdr:sp macro="" textlink="">
          <xdr:nvSpPr>
            <xdr:cNvPr id="81988" name="Option Button 68" hidden="1">
              <a:extLst>
                <a:ext uri="{63B3BB69-23CF-44E3-9099-C40C66FF867C}">
                  <a14:compatExt spid="_x0000_s81988"/>
                </a:ext>
                <a:ext uri="{FF2B5EF4-FFF2-40B4-BE49-F238E27FC236}">
                  <a16:creationId xmlns:a16="http://schemas.microsoft.com/office/drawing/2014/main" id="{00000000-0008-0000-2F00-00004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28</xdr:row>
          <xdr:rowOff>19050</xdr:rowOff>
        </xdr:from>
        <xdr:to>
          <xdr:col>6</xdr:col>
          <xdr:colOff>412750</xdr:colOff>
          <xdr:row>28</xdr:row>
          <xdr:rowOff>228600</xdr:rowOff>
        </xdr:to>
        <xdr:sp macro="" textlink="">
          <xdr:nvSpPr>
            <xdr:cNvPr id="81989" name="Option Button 69" hidden="1">
              <a:extLst>
                <a:ext uri="{63B3BB69-23CF-44E3-9099-C40C66FF867C}">
                  <a14:compatExt spid="_x0000_s81989"/>
                </a:ext>
                <a:ext uri="{FF2B5EF4-FFF2-40B4-BE49-F238E27FC236}">
                  <a16:creationId xmlns:a16="http://schemas.microsoft.com/office/drawing/2014/main" id="{00000000-0008-0000-2F00-00004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29</xdr:row>
          <xdr:rowOff>19050</xdr:rowOff>
        </xdr:from>
        <xdr:to>
          <xdr:col>3</xdr:col>
          <xdr:colOff>412750</xdr:colOff>
          <xdr:row>29</xdr:row>
          <xdr:rowOff>228600</xdr:rowOff>
        </xdr:to>
        <xdr:sp macro="" textlink="">
          <xdr:nvSpPr>
            <xdr:cNvPr id="81990" name="Option Button 70" hidden="1">
              <a:extLst>
                <a:ext uri="{63B3BB69-23CF-44E3-9099-C40C66FF867C}">
                  <a14:compatExt spid="_x0000_s81990"/>
                </a:ext>
                <a:ext uri="{FF2B5EF4-FFF2-40B4-BE49-F238E27FC236}">
                  <a16:creationId xmlns:a16="http://schemas.microsoft.com/office/drawing/2014/main" id="{00000000-0008-0000-2F00-00004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29</xdr:row>
          <xdr:rowOff>19050</xdr:rowOff>
        </xdr:from>
        <xdr:to>
          <xdr:col>4</xdr:col>
          <xdr:colOff>412750</xdr:colOff>
          <xdr:row>29</xdr:row>
          <xdr:rowOff>228600</xdr:rowOff>
        </xdr:to>
        <xdr:sp macro="" textlink="">
          <xdr:nvSpPr>
            <xdr:cNvPr id="81991" name="Option Button 71" hidden="1">
              <a:extLst>
                <a:ext uri="{63B3BB69-23CF-44E3-9099-C40C66FF867C}">
                  <a14:compatExt spid="_x0000_s81991"/>
                </a:ext>
                <a:ext uri="{FF2B5EF4-FFF2-40B4-BE49-F238E27FC236}">
                  <a16:creationId xmlns:a16="http://schemas.microsoft.com/office/drawing/2014/main" id="{00000000-0008-0000-2F00-00004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29</xdr:row>
          <xdr:rowOff>19050</xdr:rowOff>
        </xdr:from>
        <xdr:to>
          <xdr:col>5</xdr:col>
          <xdr:colOff>412750</xdr:colOff>
          <xdr:row>29</xdr:row>
          <xdr:rowOff>228600</xdr:rowOff>
        </xdr:to>
        <xdr:sp macro="" textlink="">
          <xdr:nvSpPr>
            <xdr:cNvPr id="81992" name="Option Button 72" hidden="1">
              <a:extLst>
                <a:ext uri="{63B3BB69-23CF-44E3-9099-C40C66FF867C}">
                  <a14:compatExt spid="_x0000_s81992"/>
                </a:ext>
                <a:ext uri="{FF2B5EF4-FFF2-40B4-BE49-F238E27FC236}">
                  <a16:creationId xmlns:a16="http://schemas.microsoft.com/office/drawing/2014/main" id="{00000000-0008-0000-2F00-00004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29</xdr:row>
          <xdr:rowOff>19050</xdr:rowOff>
        </xdr:from>
        <xdr:to>
          <xdr:col>6</xdr:col>
          <xdr:colOff>412750</xdr:colOff>
          <xdr:row>29</xdr:row>
          <xdr:rowOff>228600</xdr:rowOff>
        </xdr:to>
        <xdr:sp macro="" textlink="">
          <xdr:nvSpPr>
            <xdr:cNvPr id="81993" name="Option Button 73" hidden="1">
              <a:extLst>
                <a:ext uri="{63B3BB69-23CF-44E3-9099-C40C66FF867C}">
                  <a14:compatExt spid="_x0000_s81993"/>
                </a:ext>
                <a:ext uri="{FF2B5EF4-FFF2-40B4-BE49-F238E27FC236}">
                  <a16:creationId xmlns:a16="http://schemas.microsoft.com/office/drawing/2014/main" id="{00000000-0008-0000-2F00-00004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30</xdr:row>
          <xdr:rowOff>19050</xdr:rowOff>
        </xdr:from>
        <xdr:to>
          <xdr:col>3</xdr:col>
          <xdr:colOff>412750</xdr:colOff>
          <xdr:row>30</xdr:row>
          <xdr:rowOff>228600</xdr:rowOff>
        </xdr:to>
        <xdr:sp macro="" textlink="">
          <xdr:nvSpPr>
            <xdr:cNvPr id="81994" name="Option Button 74" hidden="1">
              <a:extLst>
                <a:ext uri="{63B3BB69-23CF-44E3-9099-C40C66FF867C}">
                  <a14:compatExt spid="_x0000_s81994"/>
                </a:ext>
                <a:ext uri="{FF2B5EF4-FFF2-40B4-BE49-F238E27FC236}">
                  <a16:creationId xmlns:a16="http://schemas.microsoft.com/office/drawing/2014/main" id="{00000000-0008-0000-2F00-00004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30</xdr:row>
          <xdr:rowOff>19050</xdr:rowOff>
        </xdr:from>
        <xdr:to>
          <xdr:col>4</xdr:col>
          <xdr:colOff>412750</xdr:colOff>
          <xdr:row>30</xdr:row>
          <xdr:rowOff>228600</xdr:rowOff>
        </xdr:to>
        <xdr:sp macro="" textlink="">
          <xdr:nvSpPr>
            <xdr:cNvPr id="81995" name="Option Button 75" hidden="1">
              <a:extLst>
                <a:ext uri="{63B3BB69-23CF-44E3-9099-C40C66FF867C}">
                  <a14:compatExt spid="_x0000_s81995"/>
                </a:ext>
                <a:ext uri="{FF2B5EF4-FFF2-40B4-BE49-F238E27FC236}">
                  <a16:creationId xmlns:a16="http://schemas.microsoft.com/office/drawing/2014/main" id="{00000000-0008-0000-2F00-00004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30</xdr:row>
          <xdr:rowOff>19050</xdr:rowOff>
        </xdr:from>
        <xdr:to>
          <xdr:col>5</xdr:col>
          <xdr:colOff>412750</xdr:colOff>
          <xdr:row>30</xdr:row>
          <xdr:rowOff>228600</xdr:rowOff>
        </xdr:to>
        <xdr:sp macro="" textlink="">
          <xdr:nvSpPr>
            <xdr:cNvPr id="81996" name="Option Button 76" hidden="1">
              <a:extLst>
                <a:ext uri="{63B3BB69-23CF-44E3-9099-C40C66FF867C}">
                  <a14:compatExt spid="_x0000_s81996"/>
                </a:ext>
                <a:ext uri="{FF2B5EF4-FFF2-40B4-BE49-F238E27FC236}">
                  <a16:creationId xmlns:a16="http://schemas.microsoft.com/office/drawing/2014/main" id="{00000000-0008-0000-2F00-00004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30</xdr:row>
          <xdr:rowOff>19050</xdr:rowOff>
        </xdr:from>
        <xdr:to>
          <xdr:col>6</xdr:col>
          <xdr:colOff>412750</xdr:colOff>
          <xdr:row>30</xdr:row>
          <xdr:rowOff>228600</xdr:rowOff>
        </xdr:to>
        <xdr:sp macro="" textlink="">
          <xdr:nvSpPr>
            <xdr:cNvPr id="81997" name="Option Button 77" hidden="1">
              <a:extLst>
                <a:ext uri="{63B3BB69-23CF-44E3-9099-C40C66FF867C}">
                  <a14:compatExt spid="_x0000_s81997"/>
                </a:ext>
                <a:ext uri="{FF2B5EF4-FFF2-40B4-BE49-F238E27FC236}">
                  <a16:creationId xmlns:a16="http://schemas.microsoft.com/office/drawing/2014/main" id="{00000000-0008-0000-2F00-00004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31</xdr:row>
          <xdr:rowOff>19050</xdr:rowOff>
        </xdr:from>
        <xdr:to>
          <xdr:col>3</xdr:col>
          <xdr:colOff>412750</xdr:colOff>
          <xdr:row>31</xdr:row>
          <xdr:rowOff>228600</xdr:rowOff>
        </xdr:to>
        <xdr:sp macro="" textlink="">
          <xdr:nvSpPr>
            <xdr:cNvPr id="81998" name="Option Button 78" hidden="1">
              <a:extLst>
                <a:ext uri="{63B3BB69-23CF-44E3-9099-C40C66FF867C}">
                  <a14:compatExt spid="_x0000_s81998"/>
                </a:ext>
                <a:ext uri="{FF2B5EF4-FFF2-40B4-BE49-F238E27FC236}">
                  <a16:creationId xmlns:a16="http://schemas.microsoft.com/office/drawing/2014/main" id="{00000000-0008-0000-2F00-00004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31</xdr:row>
          <xdr:rowOff>19050</xdr:rowOff>
        </xdr:from>
        <xdr:to>
          <xdr:col>4</xdr:col>
          <xdr:colOff>412750</xdr:colOff>
          <xdr:row>31</xdr:row>
          <xdr:rowOff>228600</xdr:rowOff>
        </xdr:to>
        <xdr:sp macro="" textlink="">
          <xdr:nvSpPr>
            <xdr:cNvPr id="81999" name="Option Button 79" hidden="1">
              <a:extLst>
                <a:ext uri="{63B3BB69-23CF-44E3-9099-C40C66FF867C}">
                  <a14:compatExt spid="_x0000_s81999"/>
                </a:ext>
                <a:ext uri="{FF2B5EF4-FFF2-40B4-BE49-F238E27FC236}">
                  <a16:creationId xmlns:a16="http://schemas.microsoft.com/office/drawing/2014/main" id="{00000000-0008-0000-2F00-00004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31</xdr:row>
          <xdr:rowOff>19050</xdr:rowOff>
        </xdr:from>
        <xdr:to>
          <xdr:col>5</xdr:col>
          <xdr:colOff>412750</xdr:colOff>
          <xdr:row>31</xdr:row>
          <xdr:rowOff>228600</xdr:rowOff>
        </xdr:to>
        <xdr:sp macro="" textlink="">
          <xdr:nvSpPr>
            <xdr:cNvPr id="82000" name="Option Button 80" hidden="1">
              <a:extLst>
                <a:ext uri="{63B3BB69-23CF-44E3-9099-C40C66FF867C}">
                  <a14:compatExt spid="_x0000_s82000"/>
                </a:ext>
                <a:ext uri="{FF2B5EF4-FFF2-40B4-BE49-F238E27FC236}">
                  <a16:creationId xmlns:a16="http://schemas.microsoft.com/office/drawing/2014/main" id="{00000000-0008-0000-2F00-00005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31</xdr:row>
          <xdr:rowOff>19050</xdr:rowOff>
        </xdr:from>
        <xdr:to>
          <xdr:col>6</xdr:col>
          <xdr:colOff>412750</xdr:colOff>
          <xdr:row>31</xdr:row>
          <xdr:rowOff>228600</xdr:rowOff>
        </xdr:to>
        <xdr:sp macro="" textlink="">
          <xdr:nvSpPr>
            <xdr:cNvPr id="82001" name="Option Button 81" hidden="1">
              <a:extLst>
                <a:ext uri="{63B3BB69-23CF-44E3-9099-C40C66FF867C}">
                  <a14:compatExt spid="_x0000_s82001"/>
                </a:ext>
                <a:ext uri="{FF2B5EF4-FFF2-40B4-BE49-F238E27FC236}">
                  <a16:creationId xmlns:a16="http://schemas.microsoft.com/office/drawing/2014/main" id="{00000000-0008-0000-2F00-00005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32</xdr:row>
          <xdr:rowOff>19050</xdr:rowOff>
        </xdr:from>
        <xdr:to>
          <xdr:col>3</xdr:col>
          <xdr:colOff>412750</xdr:colOff>
          <xdr:row>32</xdr:row>
          <xdr:rowOff>228600</xdr:rowOff>
        </xdr:to>
        <xdr:sp macro="" textlink="">
          <xdr:nvSpPr>
            <xdr:cNvPr id="82002" name="Option Button 82" hidden="1">
              <a:extLst>
                <a:ext uri="{63B3BB69-23CF-44E3-9099-C40C66FF867C}">
                  <a14:compatExt spid="_x0000_s82002"/>
                </a:ext>
                <a:ext uri="{FF2B5EF4-FFF2-40B4-BE49-F238E27FC236}">
                  <a16:creationId xmlns:a16="http://schemas.microsoft.com/office/drawing/2014/main" id="{00000000-0008-0000-2F00-00005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32</xdr:row>
          <xdr:rowOff>19050</xdr:rowOff>
        </xdr:from>
        <xdr:to>
          <xdr:col>4</xdr:col>
          <xdr:colOff>412750</xdr:colOff>
          <xdr:row>32</xdr:row>
          <xdr:rowOff>228600</xdr:rowOff>
        </xdr:to>
        <xdr:sp macro="" textlink="">
          <xdr:nvSpPr>
            <xdr:cNvPr id="82003" name="Option Button 83" hidden="1">
              <a:extLst>
                <a:ext uri="{63B3BB69-23CF-44E3-9099-C40C66FF867C}">
                  <a14:compatExt spid="_x0000_s82003"/>
                </a:ext>
                <a:ext uri="{FF2B5EF4-FFF2-40B4-BE49-F238E27FC236}">
                  <a16:creationId xmlns:a16="http://schemas.microsoft.com/office/drawing/2014/main" id="{00000000-0008-0000-2F00-00005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32</xdr:row>
          <xdr:rowOff>19050</xdr:rowOff>
        </xdr:from>
        <xdr:to>
          <xdr:col>5</xdr:col>
          <xdr:colOff>412750</xdr:colOff>
          <xdr:row>32</xdr:row>
          <xdr:rowOff>228600</xdr:rowOff>
        </xdr:to>
        <xdr:sp macro="" textlink="">
          <xdr:nvSpPr>
            <xdr:cNvPr id="82004" name="Option Button 84" hidden="1">
              <a:extLst>
                <a:ext uri="{63B3BB69-23CF-44E3-9099-C40C66FF867C}">
                  <a14:compatExt spid="_x0000_s82004"/>
                </a:ext>
                <a:ext uri="{FF2B5EF4-FFF2-40B4-BE49-F238E27FC236}">
                  <a16:creationId xmlns:a16="http://schemas.microsoft.com/office/drawing/2014/main" id="{00000000-0008-0000-2F00-00005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32</xdr:row>
          <xdr:rowOff>19050</xdr:rowOff>
        </xdr:from>
        <xdr:to>
          <xdr:col>6</xdr:col>
          <xdr:colOff>412750</xdr:colOff>
          <xdr:row>32</xdr:row>
          <xdr:rowOff>228600</xdr:rowOff>
        </xdr:to>
        <xdr:sp macro="" textlink="">
          <xdr:nvSpPr>
            <xdr:cNvPr id="82005" name="Option Button 85" hidden="1">
              <a:extLst>
                <a:ext uri="{63B3BB69-23CF-44E3-9099-C40C66FF867C}">
                  <a14:compatExt spid="_x0000_s82005"/>
                </a:ext>
                <a:ext uri="{FF2B5EF4-FFF2-40B4-BE49-F238E27FC236}">
                  <a16:creationId xmlns:a16="http://schemas.microsoft.com/office/drawing/2014/main" id="{00000000-0008-0000-2F00-00005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33</xdr:row>
          <xdr:rowOff>19050</xdr:rowOff>
        </xdr:from>
        <xdr:to>
          <xdr:col>3</xdr:col>
          <xdr:colOff>412750</xdr:colOff>
          <xdr:row>33</xdr:row>
          <xdr:rowOff>228600</xdr:rowOff>
        </xdr:to>
        <xdr:sp macro="" textlink="">
          <xdr:nvSpPr>
            <xdr:cNvPr id="82006" name="Option Button 86" hidden="1">
              <a:extLst>
                <a:ext uri="{63B3BB69-23CF-44E3-9099-C40C66FF867C}">
                  <a14:compatExt spid="_x0000_s82006"/>
                </a:ext>
                <a:ext uri="{FF2B5EF4-FFF2-40B4-BE49-F238E27FC236}">
                  <a16:creationId xmlns:a16="http://schemas.microsoft.com/office/drawing/2014/main" id="{00000000-0008-0000-2F00-00005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33</xdr:row>
          <xdr:rowOff>19050</xdr:rowOff>
        </xdr:from>
        <xdr:to>
          <xdr:col>4</xdr:col>
          <xdr:colOff>412750</xdr:colOff>
          <xdr:row>33</xdr:row>
          <xdr:rowOff>228600</xdr:rowOff>
        </xdr:to>
        <xdr:sp macro="" textlink="">
          <xdr:nvSpPr>
            <xdr:cNvPr id="82007" name="Option Button 87" hidden="1">
              <a:extLst>
                <a:ext uri="{63B3BB69-23CF-44E3-9099-C40C66FF867C}">
                  <a14:compatExt spid="_x0000_s82007"/>
                </a:ext>
                <a:ext uri="{FF2B5EF4-FFF2-40B4-BE49-F238E27FC236}">
                  <a16:creationId xmlns:a16="http://schemas.microsoft.com/office/drawing/2014/main" id="{00000000-0008-0000-2F00-00005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33</xdr:row>
          <xdr:rowOff>19050</xdr:rowOff>
        </xdr:from>
        <xdr:to>
          <xdr:col>5</xdr:col>
          <xdr:colOff>412750</xdr:colOff>
          <xdr:row>33</xdr:row>
          <xdr:rowOff>228600</xdr:rowOff>
        </xdr:to>
        <xdr:sp macro="" textlink="">
          <xdr:nvSpPr>
            <xdr:cNvPr id="82008" name="Option Button 88" hidden="1">
              <a:extLst>
                <a:ext uri="{63B3BB69-23CF-44E3-9099-C40C66FF867C}">
                  <a14:compatExt spid="_x0000_s82008"/>
                </a:ext>
                <a:ext uri="{FF2B5EF4-FFF2-40B4-BE49-F238E27FC236}">
                  <a16:creationId xmlns:a16="http://schemas.microsoft.com/office/drawing/2014/main" id="{00000000-0008-0000-2F00-00005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33</xdr:row>
          <xdr:rowOff>19050</xdr:rowOff>
        </xdr:from>
        <xdr:to>
          <xdr:col>6</xdr:col>
          <xdr:colOff>412750</xdr:colOff>
          <xdr:row>33</xdr:row>
          <xdr:rowOff>228600</xdr:rowOff>
        </xdr:to>
        <xdr:sp macro="" textlink="">
          <xdr:nvSpPr>
            <xdr:cNvPr id="82009" name="Option Button 89" hidden="1">
              <a:extLst>
                <a:ext uri="{63B3BB69-23CF-44E3-9099-C40C66FF867C}">
                  <a14:compatExt spid="_x0000_s82009"/>
                </a:ext>
                <a:ext uri="{FF2B5EF4-FFF2-40B4-BE49-F238E27FC236}">
                  <a16:creationId xmlns:a16="http://schemas.microsoft.com/office/drawing/2014/main" id="{00000000-0008-0000-2F00-00005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34</xdr:row>
          <xdr:rowOff>19050</xdr:rowOff>
        </xdr:from>
        <xdr:to>
          <xdr:col>3</xdr:col>
          <xdr:colOff>412750</xdr:colOff>
          <xdr:row>34</xdr:row>
          <xdr:rowOff>228600</xdr:rowOff>
        </xdr:to>
        <xdr:sp macro="" textlink="">
          <xdr:nvSpPr>
            <xdr:cNvPr id="82010" name="Option Button 90" hidden="1">
              <a:extLst>
                <a:ext uri="{63B3BB69-23CF-44E3-9099-C40C66FF867C}">
                  <a14:compatExt spid="_x0000_s82010"/>
                </a:ext>
                <a:ext uri="{FF2B5EF4-FFF2-40B4-BE49-F238E27FC236}">
                  <a16:creationId xmlns:a16="http://schemas.microsoft.com/office/drawing/2014/main" id="{00000000-0008-0000-2F00-00005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34</xdr:row>
          <xdr:rowOff>19050</xdr:rowOff>
        </xdr:from>
        <xdr:to>
          <xdr:col>4</xdr:col>
          <xdr:colOff>412750</xdr:colOff>
          <xdr:row>34</xdr:row>
          <xdr:rowOff>228600</xdr:rowOff>
        </xdr:to>
        <xdr:sp macro="" textlink="">
          <xdr:nvSpPr>
            <xdr:cNvPr id="82011" name="Option Button 91" hidden="1">
              <a:extLst>
                <a:ext uri="{63B3BB69-23CF-44E3-9099-C40C66FF867C}">
                  <a14:compatExt spid="_x0000_s82011"/>
                </a:ext>
                <a:ext uri="{FF2B5EF4-FFF2-40B4-BE49-F238E27FC236}">
                  <a16:creationId xmlns:a16="http://schemas.microsoft.com/office/drawing/2014/main" id="{00000000-0008-0000-2F00-00005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34</xdr:row>
          <xdr:rowOff>19050</xdr:rowOff>
        </xdr:from>
        <xdr:to>
          <xdr:col>5</xdr:col>
          <xdr:colOff>412750</xdr:colOff>
          <xdr:row>34</xdr:row>
          <xdr:rowOff>228600</xdr:rowOff>
        </xdr:to>
        <xdr:sp macro="" textlink="">
          <xdr:nvSpPr>
            <xdr:cNvPr id="82012" name="Option Button 92" hidden="1">
              <a:extLst>
                <a:ext uri="{63B3BB69-23CF-44E3-9099-C40C66FF867C}">
                  <a14:compatExt spid="_x0000_s82012"/>
                </a:ext>
                <a:ext uri="{FF2B5EF4-FFF2-40B4-BE49-F238E27FC236}">
                  <a16:creationId xmlns:a16="http://schemas.microsoft.com/office/drawing/2014/main" id="{00000000-0008-0000-2F00-00005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34</xdr:row>
          <xdr:rowOff>19050</xdr:rowOff>
        </xdr:from>
        <xdr:to>
          <xdr:col>6</xdr:col>
          <xdr:colOff>412750</xdr:colOff>
          <xdr:row>34</xdr:row>
          <xdr:rowOff>228600</xdr:rowOff>
        </xdr:to>
        <xdr:sp macro="" textlink="">
          <xdr:nvSpPr>
            <xdr:cNvPr id="82013" name="Option Button 93" hidden="1">
              <a:extLst>
                <a:ext uri="{63B3BB69-23CF-44E3-9099-C40C66FF867C}">
                  <a14:compatExt spid="_x0000_s82013"/>
                </a:ext>
                <a:ext uri="{FF2B5EF4-FFF2-40B4-BE49-F238E27FC236}">
                  <a16:creationId xmlns:a16="http://schemas.microsoft.com/office/drawing/2014/main" id="{00000000-0008-0000-2F00-00005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19050</xdr:rowOff>
        </xdr:from>
        <xdr:to>
          <xdr:col>3</xdr:col>
          <xdr:colOff>412750</xdr:colOff>
          <xdr:row>35</xdr:row>
          <xdr:rowOff>228600</xdr:rowOff>
        </xdr:to>
        <xdr:sp macro="" textlink="">
          <xdr:nvSpPr>
            <xdr:cNvPr id="82014" name="Option Button 94" hidden="1">
              <a:extLst>
                <a:ext uri="{63B3BB69-23CF-44E3-9099-C40C66FF867C}">
                  <a14:compatExt spid="_x0000_s82014"/>
                </a:ext>
                <a:ext uri="{FF2B5EF4-FFF2-40B4-BE49-F238E27FC236}">
                  <a16:creationId xmlns:a16="http://schemas.microsoft.com/office/drawing/2014/main" id="{00000000-0008-0000-2F00-00005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35</xdr:row>
          <xdr:rowOff>19050</xdr:rowOff>
        </xdr:from>
        <xdr:to>
          <xdr:col>4</xdr:col>
          <xdr:colOff>412750</xdr:colOff>
          <xdr:row>35</xdr:row>
          <xdr:rowOff>228600</xdr:rowOff>
        </xdr:to>
        <xdr:sp macro="" textlink="">
          <xdr:nvSpPr>
            <xdr:cNvPr id="82015" name="Option Button 95" hidden="1">
              <a:extLst>
                <a:ext uri="{63B3BB69-23CF-44E3-9099-C40C66FF867C}">
                  <a14:compatExt spid="_x0000_s82015"/>
                </a:ext>
                <a:ext uri="{FF2B5EF4-FFF2-40B4-BE49-F238E27FC236}">
                  <a16:creationId xmlns:a16="http://schemas.microsoft.com/office/drawing/2014/main" id="{00000000-0008-0000-2F00-00005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35</xdr:row>
          <xdr:rowOff>19050</xdr:rowOff>
        </xdr:from>
        <xdr:to>
          <xdr:col>5</xdr:col>
          <xdr:colOff>412750</xdr:colOff>
          <xdr:row>35</xdr:row>
          <xdr:rowOff>228600</xdr:rowOff>
        </xdr:to>
        <xdr:sp macro="" textlink="">
          <xdr:nvSpPr>
            <xdr:cNvPr id="82016" name="Option Button 96" hidden="1">
              <a:extLst>
                <a:ext uri="{63B3BB69-23CF-44E3-9099-C40C66FF867C}">
                  <a14:compatExt spid="_x0000_s82016"/>
                </a:ext>
                <a:ext uri="{FF2B5EF4-FFF2-40B4-BE49-F238E27FC236}">
                  <a16:creationId xmlns:a16="http://schemas.microsoft.com/office/drawing/2014/main" id="{00000000-0008-0000-2F00-00006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35</xdr:row>
          <xdr:rowOff>19050</xdr:rowOff>
        </xdr:from>
        <xdr:to>
          <xdr:col>6</xdr:col>
          <xdr:colOff>412750</xdr:colOff>
          <xdr:row>35</xdr:row>
          <xdr:rowOff>228600</xdr:rowOff>
        </xdr:to>
        <xdr:sp macro="" textlink="">
          <xdr:nvSpPr>
            <xdr:cNvPr id="82017" name="Option Button 97" hidden="1">
              <a:extLst>
                <a:ext uri="{63B3BB69-23CF-44E3-9099-C40C66FF867C}">
                  <a14:compatExt spid="_x0000_s82017"/>
                </a:ext>
                <a:ext uri="{FF2B5EF4-FFF2-40B4-BE49-F238E27FC236}">
                  <a16:creationId xmlns:a16="http://schemas.microsoft.com/office/drawing/2014/main" id="{00000000-0008-0000-2F00-00006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36</xdr:row>
          <xdr:rowOff>19050</xdr:rowOff>
        </xdr:from>
        <xdr:to>
          <xdr:col>3</xdr:col>
          <xdr:colOff>412750</xdr:colOff>
          <xdr:row>36</xdr:row>
          <xdr:rowOff>228600</xdr:rowOff>
        </xdr:to>
        <xdr:sp macro="" textlink="">
          <xdr:nvSpPr>
            <xdr:cNvPr id="82018" name="Option Button 98" hidden="1">
              <a:extLst>
                <a:ext uri="{63B3BB69-23CF-44E3-9099-C40C66FF867C}">
                  <a14:compatExt spid="_x0000_s82018"/>
                </a:ext>
                <a:ext uri="{FF2B5EF4-FFF2-40B4-BE49-F238E27FC236}">
                  <a16:creationId xmlns:a16="http://schemas.microsoft.com/office/drawing/2014/main" id="{00000000-0008-0000-2F00-00006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36</xdr:row>
          <xdr:rowOff>19050</xdr:rowOff>
        </xdr:from>
        <xdr:to>
          <xdr:col>4</xdr:col>
          <xdr:colOff>412750</xdr:colOff>
          <xdr:row>36</xdr:row>
          <xdr:rowOff>228600</xdr:rowOff>
        </xdr:to>
        <xdr:sp macro="" textlink="">
          <xdr:nvSpPr>
            <xdr:cNvPr id="82019" name="Option Button 99" hidden="1">
              <a:extLst>
                <a:ext uri="{63B3BB69-23CF-44E3-9099-C40C66FF867C}">
                  <a14:compatExt spid="_x0000_s82019"/>
                </a:ext>
                <a:ext uri="{FF2B5EF4-FFF2-40B4-BE49-F238E27FC236}">
                  <a16:creationId xmlns:a16="http://schemas.microsoft.com/office/drawing/2014/main" id="{00000000-0008-0000-2F00-00006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36</xdr:row>
          <xdr:rowOff>19050</xdr:rowOff>
        </xdr:from>
        <xdr:to>
          <xdr:col>5</xdr:col>
          <xdr:colOff>412750</xdr:colOff>
          <xdr:row>36</xdr:row>
          <xdr:rowOff>228600</xdr:rowOff>
        </xdr:to>
        <xdr:sp macro="" textlink="">
          <xdr:nvSpPr>
            <xdr:cNvPr id="82020" name="Option Button 100" hidden="1">
              <a:extLst>
                <a:ext uri="{63B3BB69-23CF-44E3-9099-C40C66FF867C}">
                  <a14:compatExt spid="_x0000_s82020"/>
                </a:ext>
                <a:ext uri="{FF2B5EF4-FFF2-40B4-BE49-F238E27FC236}">
                  <a16:creationId xmlns:a16="http://schemas.microsoft.com/office/drawing/2014/main" id="{00000000-0008-0000-2F00-00006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36</xdr:row>
          <xdr:rowOff>19050</xdr:rowOff>
        </xdr:from>
        <xdr:to>
          <xdr:col>6</xdr:col>
          <xdr:colOff>412750</xdr:colOff>
          <xdr:row>36</xdr:row>
          <xdr:rowOff>228600</xdr:rowOff>
        </xdr:to>
        <xdr:sp macro="" textlink="">
          <xdr:nvSpPr>
            <xdr:cNvPr id="82021" name="Option Button 101" hidden="1">
              <a:extLst>
                <a:ext uri="{63B3BB69-23CF-44E3-9099-C40C66FF867C}">
                  <a14:compatExt spid="_x0000_s82021"/>
                </a:ext>
                <a:ext uri="{FF2B5EF4-FFF2-40B4-BE49-F238E27FC236}">
                  <a16:creationId xmlns:a16="http://schemas.microsoft.com/office/drawing/2014/main" id="{00000000-0008-0000-2F00-00006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37</xdr:row>
          <xdr:rowOff>19050</xdr:rowOff>
        </xdr:from>
        <xdr:to>
          <xdr:col>3</xdr:col>
          <xdr:colOff>412750</xdr:colOff>
          <xdr:row>37</xdr:row>
          <xdr:rowOff>228600</xdr:rowOff>
        </xdr:to>
        <xdr:sp macro="" textlink="">
          <xdr:nvSpPr>
            <xdr:cNvPr id="82022" name="Option Button 102" hidden="1">
              <a:extLst>
                <a:ext uri="{63B3BB69-23CF-44E3-9099-C40C66FF867C}">
                  <a14:compatExt spid="_x0000_s82022"/>
                </a:ext>
                <a:ext uri="{FF2B5EF4-FFF2-40B4-BE49-F238E27FC236}">
                  <a16:creationId xmlns:a16="http://schemas.microsoft.com/office/drawing/2014/main" id="{00000000-0008-0000-2F00-00006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37</xdr:row>
          <xdr:rowOff>19050</xdr:rowOff>
        </xdr:from>
        <xdr:to>
          <xdr:col>4</xdr:col>
          <xdr:colOff>412750</xdr:colOff>
          <xdr:row>37</xdr:row>
          <xdr:rowOff>228600</xdr:rowOff>
        </xdr:to>
        <xdr:sp macro="" textlink="">
          <xdr:nvSpPr>
            <xdr:cNvPr id="82023" name="Option Button 103" hidden="1">
              <a:extLst>
                <a:ext uri="{63B3BB69-23CF-44E3-9099-C40C66FF867C}">
                  <a14:compatExt spid="_x0000_s82023"/>
                </a:ext>
                <a:ext uri="{FF2B5EF4-FFF2-40B4-BE49-F238E27FC236}">
                  <a16:creationId xmlns:a16="http://schemas.microsoft.com/office/drawing/2014/main" id="{00000000-0008-0000-2F00-00006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37</xdr:row>
          <xdr:rowOff>19050</xdr:rowOff>
        </xdr:from>
        <xdr:to>
          <xdr:col>5</xdr:col>
          <xdr:colOff>412750</xdr:colOff>
          <xdr:row>37</xdr:row>
          <xdr:rowOff>228600</xdr:rowOff>
        </xdr:to>
        <xdr:sp macro="" textlink="">
          <xdr:nvSpPr>
            <xdr:cNvPr id="82024" name="Option Button 104" hidden="1">
              <a:extLst>
                <a:ext uri="{63B3BB69-23CF-44E3-9099-C40C66FF867C}">
                  <a14:compatExt spid="_x0000_s82024"/>
                </a:ext>
                <a:ext uri="{FF2B5EF4-FFF2-40B4-BE49-F238E27FC236}">
                  <a16:creationId xmlns:a16="http://schemas.microsoft.com/office/drawing/2014/main" id="{00000000-0008-0000-2F00-00006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37</xdr:row>
          <xdr:rowOff>19050</xdr:rowOff>
        </xdr:from>
        <xdr:to>
          <xdr:col>6</xdr:col>
          <xdr:colOff>412750</xdr:colOff>
          <xdr:row>37</xdr:row>
          <xdr:rowOff>228600</xdr:rowOff>
        </xdr:to>
        <xdr:sp macro="" textlink="">
          <xdr:nvSpPr>
            <xdr:cNvPr id="82025" name="Option Button 105" hidden="1">
              <a:extLst>
                <a:ext uri="{63B3BB69-23CF-44E3-9099-C40C66FF867C}">
                  <a14:compatExt spid="_x0000_s82025"/>
                </a:ext>
                <a:ext uri="{FF2B5EF4-FFF2-40B4-BE49-F238E27FC236}">
                  <a16:creationId xmlns:a16="http://schemas.microsoft.com/office/drawing/2014/main" id="{00000000-0008-0000-2F00-00006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38</xdr:row>
          <xdr:rowOff>19050</xdr:rowOff>
        </xdr:from>
        <xdr:to>
          <xdr:col>3</xdr:col>
          <xdr:colOff>412750</xdr:colOff>
          <xdr:row>38</xdr:row>
          <xdr:rowOff>228600</xdr:rowOff>
        </xdr:to>
        <xdr:sp macro="" textlink="">
          <xdr:nvSpPr>
            <xdr:cNvPr id="82026" name="Option Button 106" hidden="1">
              <a:extLst>
                <a:ext uri="{63B3BB69-23CF-44E3-9099-C40C66FF867C}">
                  <a14:compatExt spid="_x0000_s82026"/>
                </a:ext>
                <a:ext uri="{FF2B5EF4-FFF2-40B4-BE49-F238E27FC236}">
                  <a16:creationId xmlns:a16="http://schemas.microsoft.com/office/drawing/2014/main" id="{00000000-0008-0000-2F00-00006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38</xdr:row>
          <xdr:rowOff>19050</xdr:rowOff>
        </xdr:from>
        <xdr:to>
          <xdr:col>4</xdr:col>
          <xdr:colOff>412750</xdr:colOff>
          <xdr:row>38</xdr:row>
          <xdr:rowOff>228600</xdr:rowOff>
        </xdr:to>
        <xdr:sp macro="" textlink="">
          <xdr:nvSpPr>
            <xdr:cNvPr id="82027" name="Option Button 107" hidden="1">
              <a:extLst>
                <a:ext uri="{63B3BB69-23CF-44E3-9099-C40C66FF867C}">
                  <a14:compatExt spid="_x0000_s82027"/>
                </a:ext>
                <a:ext uri="{FF2B5EF4-FFF2-40B4-BE49-F238E27FC236}">
                  <a16:creationId xmlns:a16="http://schemas.microsoft.com/office/drawing/2014/main" id="{00000000-0008-0000-2F00-00006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38</xdr:row>
          <xdr:rowOff>19050</xdr:rowOff>
        </xdr:from>
        <xdr:to>
          <xdr:col>5</xdr:col>
          <xdr:colOff>412750</xdr:colOff>
          <xdr:row>38</xdr:row>
          <xdr:rowOff>228600</xdr:rowOff>
        </xdr:to>
        <xdr:sp macro="" textlink="">
          <xdr:nvSpPr>
            <xdr:cNvPr id="82028" name="Option Button 108" hidden="1">
              <a:extLst>
                <a:ext uri="{63B3BB69-23CF-44E3-9099-C40C66FF867C}">
                  <a14:compatExt spid="_x0000_s82028"/>
                </a:ext>
                <a:ext uri="{FF2B5EF4-FFF2-40B4-BE49-F238E27FC236}">
                  <a16:creationId xmlns:a16="http://schemas.microsoft.com/office/drawing/2014/main" id="{00000000-0008-0000-2F00-00006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38</xdr:row>
          <xdr:rowOff>19050</xdr:rowOff>
        </xdr:from>
        <xdr:to>
          <xdr:col>6</xdr:col>
          <xdr:colOff>412750</xdr:colOff>
          <xdr:row>38</xdr:row>
          <xdr:rowOff>228600</xdr:rowOff>
        </xdr:to>
        <xdr:sp macro="" textlink="">
          <xdr:nvSpPr>
            <xdr:cNvPr id="82029" name="Option Button 109" hidden="1">
              <a:extLst>
                <a:ext uri="{63B3BB69-23CF-44E3-9099-C40C66FF867C}">
                  <a14:compatExt spid="_x0000_s82029"/>
                </a:ext>
                <a:ext uri="{FF2B5EF4-FFF2-40B4-BE49-F238E27FC236}">
                  <a16:creationId xmlns:a16="http://schemas.microsoft.com/office/drawing/2014/main" id="{00000000-0008-0000-2F00-00006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39</xdr:row>
          <xdr:rowOff>19050</xdr:rowOff>
        </xdr:from>
        <xdr:to>
          <xdr:col>3</xdr:col>
          <xdr:colOff>412750</xdr:colOff>
          <xdr:row>39</xdr:row>
          <xdr:rowOff>228600</xdr:rowOff>
        </xdr:to>
        <xdr:sp macro="" textlink="">
          <xdr:nvSpPr>
            <xdr:cNvPr id="82030" name="Option Button 110" hidden="1">
              <a:extLst>
                <a:ext uri="{63B3BB69-23CF-44E3-9099-C40C66FF867C}">
                  <a14:compatExt spid="_x0000_s82030"/>
                </a:ext>
                <a:ext uri="{FF2B5EF4-FFF2-40B4-BE49-F238E27FC236}">
                  <a16:creationId xmlns:a16="http://schemas.microsoft.com/office/drawing/2014/main" id="{00000000-0008-0000-2F00-00006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39</xdr:row>
          <xdr:rowOff>19050</xdr:rowOff>
        </xdr:from>
        <xdr:to>
          <xdr:col>4</xdr:col>
          <xdr:colOff>412750</xdr:colOff>
          <xdr:row>39</xdr:row>
          <xdr:rowOff>228600</xdr:rowOff>
        </xdr:to>
        <xdr:sp macro="" textlink="">
          <xdr:nvSpPr>
            <xdr:cNvPr id="82031" name="Option Button 111" hidden="1">
              <a:extLst>
                <a:ext uri="{63B3BB69-23CF-44E3-9099-C40C66FF867C}">
                  <a14:compatExt spid="_x0000_s82031"/>
                </a:ext>
                <a:ext uri="{FF2B5EF4-FFF2-40B4-BE49-F238E27FC236}">
                  <a16:creationId xmlns:a16="http://schemas.microsoft.com/office/drawing/2014/main" id="{00000000-0008-0000-2F00-00006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39</xdr:row>
          <xdr:rowOff>19050</xdr:rowOff>
        </xdr:from>
        <xdr:to>
          <xdr:col>5</xdr:col>
          <xdr:colOff>412750</xdr:colOff>
          <xdr:row>39</xdr:row>
          <xdr:rowOff>228600</xdr:rowOff>
        </xdr:to>
        <xdr:sp macro="" textlink="">
          <xdr:nvSpPr>
            <xdr:cNvPr id="82032" name="Option Button 112" hidden="1">
              <a:extLst>
                <a:ext uri="{63B3BB69-23CF-44E3-9099-C40C66FF867C}">
                  <a14:compatExt spid="_x0000_s82032"/>
                </a:ext>
                <a:ext uri="{FF2B5EF4-FFF2-40B4-BE49-F238E27FC236}">
                  <a16:creationId xmlns:a16="http://schemas.microsoft.com/office/drawing/2014/main" id="{00000000-0008-0000-2F00-00007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39</xdr:row>
          <xdr:rowOff>19050</xdr:rowOff>
        </xdr:from>
        <xdr:to>
          <xdr:col>6</xdr:col>
          <xdr:colOff>412750</xdr:colOff>
          <xdr:row>39</xdr:row>
          <xdr:rowOff>228600</xdr:rowOff>
        </xdr:to>
        <xdr:sp macro="" textlink="">
          <xdr:nvSpPr>
            <xdr:cNvPr id="82033" name="Option Button 113" hidden="1">
              <a:extLst>
                <a:ext uri="{63B3BB69-23CF-44E3-9099-C40C66FF867C}">
                  <a14:compatExt spid="_x0000_s82033"/>
                </a:ext>
                <a:ext uri="{FF2B5EF4-FFF2-40B4-BE49-F238E27FC236}">
                  <a16:creationId xmlns:a16="http://schemas.microsoft.com/office/drawing/2014/main" id="{00000000-0008-0000-2F00-00007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40</xdr:row>
          <xdr:rowOff>19050</xdr:rowOff>
        </xdr:from>
        <xdr:to>
          <xdr:col>3</xdr:col>
          <xdr:colOff>412750</xdr:colOff>
          <xdr:row>40</xdr:row>
          <xdr:rowOff>228600</xdr:rowOff>
        </xdr:to>
        <xdr:sp macro="" textlink="">
          <xdr:nvSpPr>
            <xdr:cNvPr id="82034" name="Option Button 114" hidden="1">
              <a:extLst>
                <a:ext uri="{63B3BB69-23CF-44E3-9099-C40C66FF867C}">
                  <a14:compatExt spid="_x0000_s82034"/>
                </a:ext>
                <a:ext uri="{FF2B5EF4-FFF2-40B4-BE49-F238E27FC236}">
                  <a16:creationId xmlns:a16="http://schemas.microsoft.com/office/drawing/2014/main" id="{00000000-0008-0000-2F00-00007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40</xdr:row>
          <xdr:rowOff>19050</xdr:rowOff>
        </xdr:from>
        <xdr:to>
          <xdr:col>4</xdr:col>
          <xdr:colOff>412750</xdr:colOff>
          <xdr:row>40</xdr:row>
          <xdr:rowOff>228600</xdr:rowOff>
        </xdr:to>
        <xdr:sp macro="" textlink="">
          <xdr:nvSpPr>
            <xdr:cNvPr id="82035" name="Option Button 115" hidden="1">
              <a:extLst>
                <a:ext uri="{63B3BB69-23CF-44E3-9099-C40C66FF867C}">
                  <a14:compatExt spid="_x0000_s82035"/>
                </a:ext>
                <a:ext uri="{FF2B5EF4-FFF2-40B4-BE49-F238E27FC236}">
                  <a16:creationId xmlns:a16="http://schemas.microsoft.com/office/drawing/2014/main" id="{00000000-0008-0000-2F00-00007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40</xdr:row>
          <xdr:rowOff>19050</xdr:rowOff>
        </xdr:from>
        <xdr:to>
          <xdr:col>5</xdr:col>
          <xdr:colOff>412750</xdr:colOff>
          <xdr:row>40</xdr:row>
          <xdr:rowOff>228600</xdr:rowOff>
        </xdr:to>
        <xdr:sp macro="" textlink="">
          <xdr:nvSpPr>
            <xdr:cNvPr id="82036" name="Option Button 116" hidden="1">
              <a:extLst>
                <a:ext uri="{63B3BB69-23CF-44E3-9099-C40C66FF867C}">
                  <a14:compatExt spid="_x0000_s82036"/>
                </a:ext>
                <a:ext uri="{FF2B5EF4-FFF2-40B4-BE49-F238E27FC236}">
                  <a16:creationId xmlns:a16="http://schemas.microsoft.com/office/drawing/2014/main" id="{00000000-0008-0000-2F00-00007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40</xdr:row>
          <xdr:rowOff>19050</xdr:rowOff>
        </xdr:from>
        <xdr:to>
          <xdr:col>6</xdr:col>
          <xdr:colOff>412750</xdr:colOff>
          <xdr:row>40</xdr:row>
          <xdr:rowOff>228600</xdr:rowOff>
        </xdr:to>
        <xdr:sp macro="" textlink="">
          <xdr:nvSpPr>
            <xdr:cNvPr id="82037" name="Option Button 117" hidden="1">
              <a:extLst>
                <a:ext uri="{63B3BB69-23CF-44E3-9099-C40C66FF867C}">
                  <a14:compatExt spid="_x0000_s82037"/>
                </a:ext>
                <a:ext uri="{FF2B5EF4-FFF2-40B4-BE49-F238E27FC236}">
                  <a16:creationId xmlns:a16="http://schemas.microsoft.com/office/drawing/2014/main" id="{00000000-0008-0000-2F00-00007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41</xdr:row>
          <xdr:rowOff>19050</xdr:rowOff>
        </xdr:from>
        <xdr:to>
          <xdr:col>3</xdr:col>
          <xdr:colOff>412750</xdr:colOff>
          <xdr:row>41</xdr:row>
          <xdr:rowOff>228600</xdr:rowOff>
        </xdr:to>
        <xdr:sp macro="" textlink="">
          <xdr:nvSpPr>
            <xdr:cNvPr id="82038" name="Option Button 118" hidden="1">
              <a:extLst>
                <a:ext uri="{63B3BB69-23CF-44E3-9099-C40C66FF867C}">
                  <a14:compatExt spid="_x0000_s82038"/>
                </a:ext>
                <a:ext uri="{FF2B5EF4-FFF2-40B4-BE49-F238E27FC236}">
                  <a16:creationId xmlns:a16="http://schemas.microsoft.com/office/drawing/2014/main" id="{00000000-0008-0000-2F00-00007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41</xdr:row>
          <xdr:rowOff>19050</xdr:rowOff>
        </xdr:from>
        <xdr:to>
          <xdr:col>4</xdr:col>
          <xdr:colOff>412750</xdr:colOff>
          <xdr:row>41</xdr:row>
          <xdr:rowOff>228600</xdr:rowOff>
        </xdr:to>
        <xdr:sp macro="" textlink="">
          <xdr:nvSpPr>
            <xdr:cNvPr id="82039" name="Option Button 119" hidden="1">
              <a:extLst>
                <a:ext uri="{63B3BB69-23CF-44E3-9099-C40C66FF867C}">
                  <a14:compatExt spid="_x0000_s82039"/>
                </a:ext>
                <a:ext uri="{FF2B5EF4-FFF2-40B4-BE49-F238E27FC236}">
                  <a16:creationId xmlns:a16="http://schemas.microsoft.com/office/drawing/2014/main" id="{00000000-0008-0000-2F00-00007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41</xdr:row>
          <xdr:rowOff>19050</xdr:rowOff>
        </xdr:from>
        <xdr:to>
          <xdr:col>5</xdr:col>
          <xdr:colOff>412750</xdr:colOff>
          <xdr:row>41</xdr:row>
          <xdr:rowOff>228600</xdr:rowOff>
        </xdr:to>
        <xdr:sp macro="" textlink="">
          <xdr:nvSpPr>
            <xdr:cNvPr id="82040" name="Option Button 120" hidden="1">
              <a:extLst>
                <a:ext uri="{63B3BB69-23CF-44E3-9099-C40C66FF867C}">
                  <a14:compatExt spid="_x0000_s82040"/>
                </a:ext>
                <a:ext uri="{FF2B5EF4-FFF2-40B4-BE49-F238E27FC236}">
                  <a16:creationId xmlns:a16="http://schemas.microsoft.com/office/drawing/2014/main" id="{00000000-0008-0000-2F00-00007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41</xdr:row>
          <xdr:rowOff>19050</xdr:rowOff>
        </xdr:from>
        <xdr:to>
          <xdr:col>6</xdr:col>
          <xdr:colOff>412750</xdr:colOff>
          <xdr:row>41</xdr:row>
          <xdr:rowOff>228600</xdr:rowOff>
        </xdr:to>
        <xdr:sp macro="" textlink="">
          <xdr:nvSpPr>
            <xdr:cNvPr id="82041" name="Option Button 121" hidden="1">
              <a:extLst>
                <a:ext uri="{63B3BB69-23CF-44E3-9099-C40C66FF867C}">
                  <a14:compatExt spid="_x0000_s82041"/>
                </a:ext>
                <a:ext uri="{FF2B5EF4-FFF2-40B4-BE49-F238E27FC236}">
                  <a16:creationId xmlns:a16="http://schemas.microsoft.com/office/drawing/2014/main" id="{00000000-0008-0000-2F00-00007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42</xdr:row>
          <xdr:rowOff>19050</xdr:rowOff>
        </xdr:from>
        <xdr:to>
          <xdr:col>3</xdr:col>
          <xdr:colOff>412750</xdr:colOff>
          <xdr:row>42</xdr:row>
          <xdr:rowOff>228600</xdr:rowOff>
        </xdr:to>
        <xdr:sp macro="" textlink="">
          <xdr:nvSpPr>
            <xdr:cNvPr id="82042" name="Option Button 122" hidden="1">
              <a:extLst>
                <a:ext uri="{63B3BB69-23CF-44E3-9099-C40C66FF867C}">
                  <a14:compatExt spid="_x0000_s82042"/>
                </a:ext>
                <a:ext uri="{FF2B5EF4-FFF2-40B4-BE49-F238E27FC236}">
                  <a16:creationId xmlns:a16="http://schemas.microsoft.com/office/drawing/2014/main" id="{00000000-0008-0000-2F00-00007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42</xdr:row>
          <xdr:rowOff>19050</xdr:rowOff>
        </xdr:from>
        <xdr:to>
          <xdr:col>4</xdr:col>
          <xdr:colOff>412750</xdr:colOff>
          <xdr:row>42</xdr:row>
          <xdr:rowOff>228600</xdr:rowOff>
        </xdr:to>
        <xdr:sp macro="" textlink="">
          <xdr:nvSpPr>
            <xdr:cNvPr id="82043" name="Option Button 123" hidden="1">
              <a:extLst>
                <a:ext uri="{63B3BB69-23CF-44E3-9099-C40C66FF867C}">
                  <a14:compatExt spid="_x0000_s82043"/>
                </a:ext>
                <a:ext uri="{FF2B5EF4-FFF2-40B4-BE49-F238E27FC236}">
                  <a16:creationId xmlns:a16="http://schemas.microsoft.com/office/drawing/2014/main" id="{00000000-0008-0000-2F00-00007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42</xdr:row>
          <xdr:rowOff>19050</xdr:rowOff>
        </xdr:from>
        <xdr:to>
          <xdr:col>5</xdr:col>
          <xdr:colOff>412750</xdr:colOff>
          <xdr:row>42</xdr:row>
          <xdr:rowOff>228600</xdr:rowOff>
        </xdr:to>
        <xdr:sp macro="" textlink="">
          <xdr:nvSpPr>
            <xdr:cNvPr id="82044" name="Option Button 124" hidden="1">
              <a:extLst>
                <a:ext uri="{63B3BB69-23CF-44E3-9099-C40C66FF867C}">
                  <a14:compatExt spid="_x0000_s82044"/>
                </a:ext>
                <a:ext uri="{FF2B5EF4-FFF2-40B4-BE49-F238E27FC236}">
                  <a16:creationId xmlns:a16="http://schemas.microsoft.com/office/drawing/2014/main" id="{00000000-0008-0000-2F00-00007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42</xdr:row>
          <xdr:rowOff>19050</xdr:rowOff>
        </xdr:from>
        <xdr:to>
          <xdr:col>6</xdr:col>
          <xdr:colOff>412750</xdr:colOff>
          <xdr:row>42</xdr:row>
          <xdr:rowOff>228600</xdr:rowOff>
        </xdr:to>
        <xdr:sp macro="" textlink="">
          <xdr:nvSpPr>
            <xdr:cNvPr id="82045" name="Option Button 125" hidden="1">
              <a:extLst>
                <a:ext uri="{63B3BB69-23CF-44E3-9099-C40C66FF867C}">
                  <a14:compatExt spid="_x0000_s82045"/>
                </a:ext>
                <a:ext uri="{FF2B5EF4-FFF2-40B4-BE49-F238E27FC236}">
                  <a16:creationId xmlns:a16="http://schemas.microsoft.com/office/drawing/2014/main" id="{00000000-0008-0000-2F00-00007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43</xdr:row>
          <xdr:rowOff>19050</xdr:rowOff>
        </xdr:from>
        <xdr:to>
          <xdr:col>3</xdr:col>
          <xdr:colOff>412750</xdr:colOff>
          <xdr:row>43</xdr:row>
          <xdr:rowOff>228600</xdr:rowOff>
        </xdr:to>
        <xdr:sp macro="" textlink="">
          <xdr:nvSpPr>
            <xdr:cNvPr id="82046" name="Option Button 126" hidden="1">
              <a:extLst>
                <a:ext uri="{63B3BB69-23CF-44E3-9099-C40C66FF867C}">
                  <a14:compatExt spid="_x0000_s82046"/>
                </a:ext>
                <a:ext uri="{FF2B5EF4-FFF2-40B4-BE49-F238E27FC236}">
                  <a16:creationId xmlns:a16="http://schemas.microsoft.com/office/drawing/2014/main" id="{00000000-0008-0000-2F00-00007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43</xdr:row>
          <xdr:rowOff>19050</xdr:rowOff>
        </xdr:from>
        <xdr:to>
          <xdr:col>4</xdr:col>
          <xdr:colOff>412750</xdr:colOff>
          <xdr:row>43</xdr:row>
          <xdr:rowOff>228600</xdr:rowOff>
        </xdr:to>
        <xdr:sp macro="" textlink="">
          <xdr:nvSpPr>
            <xdr:cNvPr id="82047" name="Option Button 127" hidden="1">
              <a:extLst>
                <a:ext uri="{63B3BB69-23CF-44E3-9099-C40C66FF867C}">
                  <a14:compatExt spid="_x0000_s82047"/>
                </a:ext>
                <a:ext uri="{FF2B5EF4-FFF2-40B4-BE49-F238E27FC236}">
                  <a16:creationId xmlns:a16="http://schemas.microsoft.com/office/drawing/2014/main" id="{00000000-0008-0000-2F00-00007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43</xdr:row>
          <xdr:rowOff>19050</xdr:rowOff>
        </xdr:from>
        <xdr:to>
          <xdr:col>5</xdr:col>
          <xdr:colOff>412750</xdr:colOff>
          <xdr:row>43</xdr:row>
          <xdr:rowOff>228600</xdr:rowOff>
        </xdr:to>
        <xdr:sp macro="" textlink="">
          <xdr:nvSpPr>
            <xdr:cNvPr id="82048" name="Option Button 128" hidden="1">
              <a:extLst>
                <a:ext uri="{63B3BB69-23CF-44E3-9099-C40C66FF867C}">
                  <a14:compatExt spid="_x0000_s82048"/>
                </a:ext>
                <a:ext uri="{FF2B5EF4-FFF2-40B4-BE49-F238E27FC236}">
                  <a16:creationId xmlns:a16="http://schemas.microsoft.com/office/drawing/2014/main" id="{00000000-0008-0000-2F00-00008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43</xdr:row>
          <xdr:rowOff>19050</xdr:rowOff>
        </xdr:from>
        <xdr:to>
          <xdr:col>6</xdr:col>
          <xdr:colOff>412750</xdr:colOff>
          <xdr:row>43</xdr:row>
          <xdr:rowOff>228600</xdr:rowOff>
        </xdr:to>
        <xdr:sp macro="" textlink="">
          <xdr:nvSpPr>
            <xdr:cNvPr id="82049" name="Option Button 129" hidden="1">
              <a:extLst>
                <a:ext uri="{63B3BB69-23CF-44E3-9099-C40C66FF867C}">
                  <a14:compatExt spid="_x0000_s82049"/>
                </a:ext>
                <a:ext uri="{FF2B5EF4-FFF2-40B4-BE49-F238E27FC236}">
                  <a16:creationId xmlns:a16="http://schemas.microsoft.com/office/drawing/2014/main" id="{00000000-0008-0000-2F00-00008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44</xdr:row>
          <xdr:rowOff>19050</xdr:rowOff>
        </xdr:from>
        <xdr:to>
          <xdr:col>3</xdr:col>
          <xdr:colOff>412750</xdr:colOff>
          <xdr:row>44</xdr:row>
          <xdr:rowOff>228600</xdr:rowOff>
        </xdr:to>
        <xdr:sp macro="" textlink="">
          <xdr:nvSpPr>
            <xdr:cNvPr id="82050" name="Option Button 130" hidden="1">
              <a:extLst>
                <a:ext uri="{63B3BB69-23CF-44E3-9099-C40C66FF867C}">
                  <a14:compatExt spid="_x0000_s82050"/>
                </a:ext>
                <a:ext uri="{FF2B5EF4-FFF2-40B4-BE49-F238E27FC236}">
                  <a16:creationId xmlns:a16="http://schemas.microsoft.com/office/drawing/2014/main" id="{00000000-0008-0000-2F00-00008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44</xdr:row>
          <xdr:rowOff>19050</xdr:rowOff>
        </xdr:from>
        <xdr:to>
          <xdr:col>4</xdr:col>
          <xdr:colOff>412750</xdr:colOff>
          <xdr:row>44</xdr:row>
          <xdr:rowOff>228600</xdr:rowOff>
        </xdr:to>
        <xdr:sp macro="" textlink="">
          <xdr:nvSpPr>
            <xdr:cNvPr id="82051" name="Option Button 131" hidden="1">
              <a:extLst>
                <a:ext uri="{63B3BB69-23CF-44E3-9099-C40C66FF867C}">
                  <a14:compatExt spid="_x0000_s82051"/>
                </a:ext>
                <a:ext uri="{FF2B5EF4-FFF2-40B4-BE49-F238E27FC236}">
                  <a16:creationId xmlns:a16="http://schemas.microsoft.com/office/drawing/2014/main" id="{00000000-0008-0000-2F00-00008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44</xdr:row>
          <xdr:rowOff>19050</xdr:rowOff>
        </xdr:from>
        <xdr:to>
          <xdr:col>5</xdr:col>
          <xdr:colOff>412750</xdr:colOff>
          <xdr:row>44</xdr:row>
          <xdr:rowOff>228600</xdr:rowOff>
        </xdr:to>
        <xdr:sp macro="" textlink="">
          <xdr:nvSpPr>
            <xdr:cNvPr id="82052" name="Option Button 132" hidden="1">
              <a:extLst>
                <a:ext uri="{63B3BB69-23CF-44E3-9099-C40C66FF867C}">
                  <a14:compatExt spid="_x0000_s82052"/>
                </a:ext>
                <a:ext uri="{FF2B5EF4-FFF2-40B4-BE49-F238E27FC236}">
                  <a16:creationId xmlns:a16="http://schemas.microsoft.com/office/drawing/2014/main" id="{00000000-0008-0000-2F00-00008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44</xdr:row>
          <xdr:rowOff>19050</xdr:rowOff>
        </xdr:from>
        <xdr:to>
          <xdr:col>6</xdr:col>
          <xdr:colOff>412750</xdr:colOff>
          <xdr:row>44</xdr:row>
          <xdr:rowOff>228600</xdr:rowOff>
        </xdr:to>
        <xdr:sp macro="" textlink="">
          <xdr:nvSpPr>
            <xdr:cNvPr id="82053" name="Option Button 133" hidden="1">
              <a:extLst>
                <a:ext uri="{63B3BB69-23CF-44E3-9099-C40C66FF867C}">
                  <a14:compatExt spid="_x0000_s82053"/>
                </a:ext>
                <a:ext uri="{FF2B5EF4-FFF2-40B4-BE49-F238E27FC236}">
                  <a16:creationId xmlns:a16="http://schemas.microsoft.com/office/drawing/2014/main" id="{00000000-0008-0000-2F00-00008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45</xdr:row>
          <xdr:rowOff>19050</xdr:rowOff>
        </xdr:from>
        <xdr:to>
          <xdr:col>3</xdr:col>
          <xdr:colOff>412750</xdr:colOff>
          <xdr:row>45</xdr:row>
          <xdr:rowOff>228600</xdr:rowOff>
        </xdr:to>
        <xdr:sp macro="" textlink="">
          <xdr:nvSpPr>
            <xdr:cNvPr id="82054" name="Option Button 134" hidden="1">
              <a:extLst>
                <a:ext uri="{63B3BB69-23CF-44E3-9099-C40C66FF867C}">
                  <a14:compatExt spid="_x0000_s82054"/>
                </a:ext>
                <a:ext uri="{FF2B5EF4-FFF2-40B4-BE49-F238E27FC236}">
                  <a16:creationId xmlns:a16="http://schemas.microsoft.com/office/drawing/2014/main" id="{00000000-0008-0000-2F00-00008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45</xdr:row>
          <xdr:rowOff>19050</xdr:rowOff>
        </xdr:from>
        <xdr:to>
          <xdr:col>4</xdr:col>
          <xdr:colOff>412750</xdr:colOff>
          <xdr:row>45</xdr:row>
          <xdr:rowOff>228600</xdr:rowOff>
        </xdr:to>
        <xdr:sp macro="" textlink="">
          <xdr:nvSpPr>
            <xdr:cNvPr id="82055" name="Option Button 135" hidden="1">
              <a:extLst>
                <a:ext uri="{63B3BB69-23CF-44E3-9099-C40C66FF867C}">
                  <a14:compatExt spid="_x0000_s82055"/>
                </a:ext>
                <a:ext uri="{FF2B5EF4-FFF2-40B4-BE49-F238E27FC236}">
                  <a16:creationId xmlns:a16="http://schemas.microsoft.com/office/drawing/2014/main" id="{00000000-0008-0000-2F00-00008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45</xdr:row>
          <xdr:rowOff>19050</xdr:rowOff>
        </xdr:from>
        <xdr:to>
          <xdr:col>5</xdr:col>
          <xdr:colOff>412750</xdr:colOff>
          <xdr:row>45</xdr:row>
          <xdr:rowOff>228600</xdr:rowOff>
        </xdr:to>
        <xdr:sp macro="" textlink="">
          <xdr:nvSpPr>
            <xdr:cNvPr id="82056" name="Option Button 136" hidden="1">
              <a:extLst>
                <a:ext uri="{63B3BB69-23CF-44E3-9099-C40C66FF867C}">
                  <a14:compatExt spid="_x0000_s82056"/>
                </a:ext>
                <a:ext uri="{FF2B5EF4-FFF2-40B4-BE49-F238E27FC236}">
                  <a16:creationId xmlns:a16="http://schemas.microsoft.com/office/drawing/2014/main" id="{00000000-0008-0000-2F00-00008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45</xdr:row>
          <xdr:rowOff>19050</xdr:rowOff>
        </xdr:from>
        <xdr:to>
          <xdr:col>6</xdr:col>
          <xdr:colOff>412750</xdr:colOff>
          <xdr:row>45</xdr:row>
          <xdr:rowOff>228600</xdr:rowOff>
        </xdr:to>
        <xdr:sp macro="" textlink="">
          <xdr:nvSpPr>
            <xdr:cNvPr id="82057" name="Option Button 137" hidden="1">
              <a:extLst>
                <a:ext uri="{63B3BB69-23CF-44E3-9099-C40C66FF867C}">
                  <a14:compatExt spid="_x0000_s82057"/>
                </a:ext>
                <a:ext uri="{FF2B5EF4-FFF2-40B4-BE49-F238E27FC236}">
                  <a16:creationId xmlns:a16="http://schemas.microsoft.com/office/drawing/2014/main" id="{00000000-0008-0000-2F00-00008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46</xdr:row>
          <xdr:rowOff>19050</xdr:rowOff>
        </xdr:from>
        <xdr:to>
          <xdr:col>3</xdr:col>
          <xdr:colOff>412750</xdr:colOff>
          <xdr:row>46</xdr:row>
          <xdr:rowOff>228600</xdr:rowOff>
        </xdr:to>
        <xdr:sp macro="" textlink="">
          <xdr:nvSpPr>
            <xdr:cNvPr id="82058" name="Option Button 138" hidden="1">
              <a:extLst>
                <a:ext uri="{63B3BB69-23CF-44E3-9099-C40C66FF867C}">
                  <a14:compatExt spid="_x0000_s82058"/>
                </a:ext>
                <a:ext uri="{FF2B5EF4-FFF2-40B4-BE49-F238E27FC236}">
                  <a16:creationId xmlns:a16="http://schemas.microsoft.com/office/drawing/2014/main" id="{00000000-0008-0000-2F00-00008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46</xdr:row>
          <xdr:rowOff>19050</xdr:rowOff>
        </xdr:from>
        <xdr:to>
          <xdr:col>4</xdr:col>
          <xdr:colOff>412750</xdr:colOff>
          <xdr:row>46</xdr:row>
          <xdr:rowOff>228600</xdr:rowOff>
        </xdr:to>
        <xdr:sp macro="" textlink="">
          <xdr:nvSpPr>
            <xdr:cNvPr id="82059" name="Option Button 139" hidden="1">
              <a:extLst>
                <a:ext uri="{63B3BB69-23CF-44E3-9099-C40C66FF867C}">
                  <a14:compatExt spid="_x0000_s82059"/>
                </a:ext>
                <a:ext uri="{FF2B5EF4-FFF2-40B4-BE49-F238E27FC236}">
                  <a16:creationId xmlns:a16="http://schemas.microsoft.com/office/drawing/2014/main" id="{00000000-0008-0000-2F00-00008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46</xdr:row>
          <xdr:rowOff>19050</xdr:rowOff>
        </xdr:from>
        <xdr:to>
          <xdr:col>5</xdr:col>
          <xdr:colOff>412750</xdr:colOff>
          <xdr:row>46</xdr:row>
          <xdr:rowOff>228600</xdr:rowOff>
        </xdr:to>
        <xdr:sp macro="" textlink="">
          <xdr:nvSpPr>
            <xdr:cNvPr id="82060" name="Option Button 140" hidden="1">
              <a:extLst>
                <a:ext uri="{63B3BB69-23CF-44E3-9099-C40C66FF867C}">
                  <a14:compatExt spid="_x0000_s82060"/>
                </a:ext>
                <a:ext uri="{FF2B5EF4-FFF2-40B4-BE49-F238E27FC236}">
                  <a16:creationId xmlns:a16="http://schemas.microsoft.com/office/drawing/2014/main" id="{00000000-0008-0000-2F00-00008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46</xdr:row>
          <xdr:rowOff>19050</xdr:rowOff>
        </xdr:from>
        <xdr:to>
          <xdr:col>6</xdr:col>
          <xdr:colOff>412750</xdr:colOff>
          <xdr:row>46</xdr:row>
          <xdr:rowOff>228600</xdr:rowOff>
        </xdr:to>
        <xdr:sp macro="" textlink="">
          <xdr:nvSpPr>
            <xdr:cNvPr id="82061" name="Option Button 141" hidden="1">
              <a:extLst>
                <a:ext uri="{63B3BB69-23CF-44E3-9099-C40C66FF867C}">
                  <a14:compatExt spid="_x0000_s82061"/>
                </a:ext>
                <a:ext uri="{FF2B5EF4-FFF2-40B4-BE49-F238E27FC236}">
                  <a16:creationId xmlns:a16="http://schemas.microsoft.com/office/drawing/2014/main" id="{00000000-0008-0000-2F00-00008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47</xdr:row>
          <xdr:rowOff>19050</xdr:rowOff>
        </xdr:from>
        <xdr:to>
          <xdr:col>3</xdr:col>
          <xdr:colOff>412750</xdr:colOff>
          <xdr:row>47</xdr:row>
          <xdr:rowOff>228600</xdr:rowOff>
        </xdr:to>
        <xdr:sp macro="" textlink="">
          <xdr:nvSpPr>
            <xdr:cNvPr id="82062" name="Option Button 142" hidden="1">
              <a:extLst>
                <a:ext uri="{63B3BB69-23CF-44E3-9099-C40C66FF867C}">
                  <a14:compatExt spid="_x0000_s82062"/>
                </a:ext>
                <a:ext uri="{FF2B5EF4-FFF2-40B4-BE49-F238E27FC236}">
                  <a16:creationId xmlns:a16="http://schemas.microsoft.com/office/drawing/2014/main" id="{00000000-0008-0000-2F00-00008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47</xdr:row>
          <xdr:rowOff>19050</xdr:rowOff>
        </xdr:from>
        <xdr:to>
          <xdr:col>4</xdr:col>
          <xdr:colOff>412750</xdr:colOff>
          <xdr:row>47</xdr:row>
          <xdr:rowOff>228600</xdr:rowOff>
        </xdr:to>
        <xdr:sp macro="" textlink="">
          <xdr:nvSpPr>
            <xdr:cNvPr id="82063" name="Option Button 143" hidden="1">
              <a:extLst>
                <a:ext uri="{63B3BB69-23CF-44E3-9099-C40C66FF867C}">
                  <a14:compatExt spid="_x0000_s82063"/>
                </a:ext>
                <a:ext uri="{FF2B5EF4-FFF2-40B4-BE49-F238E27FC236}">
                  <a16:creationId xmlns:a16="http://schemas.microsoft.com/office/drawing/2014/main" id="{00000000-0008-0000-2F00-00008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47</xdr:row>
          <xdr:rowOff>19050</xdr:rowOff>
        </xdr:from>
        <xdr:to>
          <xdr:col>5</xdr:col>
          <xdr:colOff>412750</xdr:colOff>
          <xdr:row>47</xdr:row>
          <xdr:rowOff>228600</xdr:rowOff>
        </xdr:to>
        <xdr:sp macro="" textlink="">
          <xdr:nvSpPr>
            <xdr:cNvPr id="82064" name="Option Button 144" hidden="1">
              <a:extLst>
                <a:ext uri="{63B3BB69-23CF-44E3-9099-C40C66FF867C}">
                  <a14:compatExt spid="_x0000_s82064"/>
                </a:ext>
                <a:ext uri="{FF2B5EF4-FFF2-40B4-BE49-F238E27FC236}">
                  <a16:creationId xmlns:a16="http://schemas.microsoft.com/office/drawing/2014/main" id="{00000000-0008-0000-2F00-00009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47</xdr:row>
          <xdr:rowOff>19050</xdr:rowOff>
        </xdr:from>
        <xdr:to>
          <xdr:col>6</xdr:col>
          <xdr:colOff>412750</xdr:colOff>
          <xdr:row>47</xdr:row>
          <xdr:rowOff>228600</xdr:rowOff>
        </xdr:to>
        <xdr:sp macro="" textlink="">
          <xdr:nvSpPr>
            <xdr:cNvPr id="82065" name="Option Button 145" hidden="1">
              <a:extLst>
                <a:ext uri="{63B3BB69-23CF-44E3-9099-C40C66FF867C}">
                  <a14:compatExt spid="_x0000_s82065"/>
                </a:ext>
                <a:ext uri="{FF2B5EF4-FFF2-40B4-BE49-F238E27FC236}">
                  <a16:creationId xmlns:a16="http://schemas.microsoft.com/office/drawing/2014/main" id="{00000000-0008-0000-2F00-00009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48</xdr:row>
          <xdr:rowOff>19050</xdr:rowOff>
        </xdr:from>
        <xdr:to>
          <xdr:col>3</xdr:col>
          <xdr:colOff>412750</xdr:colOff>
          <xdr:row>48</xdr:row>
          <xdr:rowOff>228600</xdr:rowOff>
        </xdr:to>
        <xdr:sp macro="" textlink="">
          <xdr:nvSpPr>
            <xdr:cNvPr id="82066" name="Option Button 146" hidden="1">
              <a:extLst>
                <a:ext uri="{63B3BB69-23CF-44E3-9099-C40C66FF867C}">
                  <a14:compatExt spid="_x0000_s82066"/>
                </a:ext>
                <a:ext uri="{FF2B5EF4-FFF2-40B4-BE49-F238E27FC236}">
                  <a16:creationId xmlns:a16="http://schemas.microsoft.com/office/drawing/2014/main" id="{00000000-0008-0000-2F00-00009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48</xdr:row>
          <xdr:rowOff>19050</xdr:rowOff>
        </xdr:from>
        <xdr:to>
          <xdr:col>4</xdr:col>
          <xdr:colOff>412750</xdr:colOff>
          <xdr:row>48</xdr:row>
          <xdr:rowOff>228600</xdr:rowOff>
        </xdr:to>
        <xdr:sp macro="" textlink="">
          <xdr:nvSpPr>
            <xdr:cNvPr id="82067" name="Option Button 147" hidden="1">
              <a:extLst>
                <a:ext uri="{63B3BB69-23CF-44E3-9099-C40C66FF867C}">
                  <a14:compatExt spid="_x0000_s82067"/>
                </a:ext>
                <a:ext uri="{FF2B5EF4-FFF2-40B4-BE49-F238E27FC236}">
                  <a16:creationId xmlns:a16="http://schemas.microsoft.com/office/drawing/2014/main" id="{00000000-0008-0000-2F00-00009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48</xdr:row>
          <xdr:rowOff>19050</xdr:rowOff>
        </xdr:from>
        <xdr:to>
          <xdr:col>5</xdr:col>
          <xdr:colOff>412750</xdr:colOff>
          <xdr:row>48</xdr:row>
          <xdr:rowOff>228600</xdr:rowOff>
        </xdr:to>
        <xdr:sp macro="" textlink="">
          <xdr:nvSpPr>
            <xdr:cNvPr id="82068" name="Option Button 148" hidden="1">
              <a:extLst>
                <a:ext uri="{63B3BB69-23CF-44E3-9099-C40C66FF867C}">
                  <a14:compatExt spid="_x0000_s82068"/>
                </a:ext>
                <a:ext uri="{FF2B5EF4-FFF2-40B4-BE49-F238E27FC236}">
                  <a16:creationId xmlns:a16="http://schemas.microsoft.com/office/drawing/2014/main" id="{00000000-0008-0000-2F00-00009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48</xdr:row>
          <xdr:rowOff>19050</xdr:rowOff>
        </xdr:from>
        <xdr:to>
          <xdr:col>6</xdr:col>
          <xdr:colOff>412750</xdr:colOff>
          <xdr:row>48</xdr:row>
          <xdr:rowOff>228600</xdr:rowOff>
        </xdr:to>
        <xdr:sp macro="" textlink="">
          <xdr:nvSpPr>
            <xdr:cNvPr id="82069" name="Option Button 149" hidden="1">
              <a:extLst>
                <a:ext uri="{63B3BB69-23CF-44E3-9099-C40C66FF867C}">
                  <a14:compatExt spid="_x0000_s82069"/>
                </a:ext>
                <a:ext uri="{FF2B5EF4-FFF2-40B4-BE49-F238E27FC236}">
                  <a16:creationId xmlns:a16="http://schemas.microsoft.com/office/drawing/2014/main" id="{00000000-0008-0000-2F00-00009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603250</xdr:colOff>
          <xdr:row>14</xdr:row>
          <xdr:rowOff>0</xdr:rowOff>
        </xdr:to>
        <xdr:sp macro="" textlink="">
          <xdr:nvSpPr>
            <xdr:cNvPr id="82082" name="Group Box 162" hidden="1">
              <a:extLst>
                <a:ext uri="{63B3BB69-23CF-44E3-9099-C40C66FF867C}">
                  <a14:compatExt spid="_x0000_s82082"/>
                </a:ext>
                <a:ext uri="{FF2B5EF4-FFF2-40B4-BE49-F238E27FC236}">
                  <a16:creationId xmlns:a16="http://schemas.microsoft.com/office/drawing/2014/main" id="{00000000-0008-0000-2F00-0000A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603250</xdr:colOff>
          <xdr:row>15</xdr:row>
          <xdr:rowOff>0</xdr:rowOff>
        </xdr:to>
        <xdr:sp macro="" textlink="">
          <xdr:nvSpPr>
            <xdr:cNvPr id="82083" name="Group Box 163" hidden="1">
              <a:extLst>
                <a:ext uri="{63B3BB69-23CF-44E3-9099-C40C66FF867C}">
                  <a14:compatExt spid="_x0000_s82083"/>
                </a:ext>
                <a:ext uri="{FF2B5EF4-FFF2-40B4-BE49-F238E27FC236}">
                  <a16:creationId xmlns:a16="http://schemas.microsoft.com/office/drawing/2014/main" id="{00000000-0008-0000-2F00-0000A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603250</xdr:colOff>
          <xdr:row>16</xdr:row>
          <xdr:rowOff>0</xdr:rowOff>
        </xdr:to>
        <xdr:sp macro="" textlink="">
          <xdr:nvSpPr>
            <xdr:cNvPr id="82084" name="Group Box 164" hidden="1">
              <a:extLst>
                <a:ext uri="{63B3BB69-23CF-44E3-9099-C40C66FF867C}">
                  <a14:compatExt spid="_x0000_s82084"/>
                </a:ext>
                <a:ext uri="{FF2B5EF4-FFF2-40B4-BE49-F238E27FC236}">
                  <a16:creationId xmlns:a16="http://schemas.microsoft.com/office/drawing/2014/main" id="{00000000-0008-0000-2F00-0000A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603250</xdr:colOff>
          <xdr:row>17</xdr:row>
          <xdr:rowOff>0</xdr:rowOff>
        </xdr:to>
        <xdr:sp macro="" textlink="">
          <xdr:nvSpPr>
            <xdr:cNvPr id="82085" name="Group Box 165" hidden="1">
              <a:extLst>
                <a:ext uri="{63B3BB69-23CF-44E3-9099-C40C66FF867C}">
                  <a14:compatExt spid="_x0000_s82085"/>
                </a:ext>
                <a:ext uri="{FF2B5EF4-FFF2-40B4-BE49-F238E27FC236}">
                  <a16:creationId xmlns:a16="http://schemas.microsoft.com/office/drawing/2014/main" id="{00000000-0008-0000-2F00-0000A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603250</xdr:colOff>
          <xdr:row>18</xdr:row>
          <xdr:rowOff>0</xdr:rowOff>
        </xdr:to>
        <xdr:sp macro="" textlink="">
          <xdr:nvSpPr>
            <xdr:cNvPr id="82086" name="Group Box 166" hidden="1">
              <a:extLst>
                <a:ext uri="{63B3BB69-23CF-44E3-9099-C40C66FF867C}">
                  <a14:compatExt spid="_x0000_s82086"/>
                </a:ext>
                <a:ext uri="{FF2B5EF4-FFF2-40B4-BE49-F238E27FC236}">
                  <a16:creationId xmlns:a16="http://schemas.microsoft.com/office/drawing/2014/main" id="{00000000-0008-0000-2F00-0000A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603250</xdr:colOff>
          <xdr:row>19</xdr:row>
          <xdr:rowOff>0</xdr:rowOff>
        </xdr:to>
        <xdr:sp macro="" textlink="">
          <xdr:nvSpPr>
            <xdr:cNvPr id="82087" name="Group Box 167" hidden="1">
              <a:extLst>
                <a:ext uri="{63B3BB69-23CF-44E3-9099-C40C66FF867C}">
                  <a14:compatExt spid="_x0000_s82087"/>
                </a:ext>
                <a:ext uri="{FF2B5EF4-FFF2-40B4-BE49-F238E27FC236}">
                  <a16:creationId xmlns:a16="http://schemas.microsoft.com/office/drawing/2014/main" id="{00000000-0008-0000-2F00-0000A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603250</xdr:colOff>
          <xdr:row>20</xdr:row>
          <xdr:rowOff>0</xdr:rowOff>
        </xdr:to>
        <xdr:sp macro="" textlink="">
          <xdr:nvSpPr>
            <xdr:cNvPr id="82088" name="Group Box 168" hidden="1">
              <a:extLst>
                <a:ext uri="{63B3BB69-23CF-44E3-9099-C40C66FF867C}">
                  <a14:compatExt spid="_x0000_s82088"/>
                </a:ext>
                <a:ext uri="{FF2B5EF4-FFF2-40B4-BE49-F238E27FC236}">
                  <a16:creationId xmlns:a16="http://schemas.microsoft.com/office/drawing/2014/main" id="{00000000-0008-0000-2F00-0000A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603250</xdr:colOff>
          <xdr:row>21</xdr:row>
          <xdr:rowOff>0</xdr:rowOff>
        </xdr:to>
        <xdr:sp macro="" textlink="">
          <xdr:nvSpPr>
            <xdr:cNvPr id="82089" name="Group Box 169" hidden="1">
              <a:extLst>
                <a:ext uri="{63B3BB69-23CF-44E3-9099-C40C66FF867C}">
                  <a14:compatExt spid="_x0000_s82089"/>
                </a:ext>
                <a:ext uri="{FF2B5EF4-FFF2-40B4-BE49-F238E27FC236}">
                  <a16:creationId xmlns:a16="http://schemas.microsoft.com/office/drawing/2014/main" id="{00000000-0008-0000-2F00-0000A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603250</xdr:colOff>
          <xdr:row>22</xdr:row>
          <xdr:rowOff>0</xdr:rowOff>
        </xdr:to>
        <xdr:sp macro="" textlink="">
          <xdr:nvSpPr>
            <xdr:cNvPr id="82090" name="Group Box 170" hidden="1">
              <a:extLst>
                <a:ext uri="{63B3BB69-23CF-44E3-9099-C40C66FF867C}">
                  <a14:compatExt spid="_x0000_s82090"/>
                </a:ext>
                <a:ext uri="{FF2B5EF4-FFF2-40B4-BE49-F238E27FC236}">
                  <a16:creationId xmlns:a16="http://schemas.microsoft.com/office/drawing/2014/main" id="{00000000-0008-0000-2F00-0000A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603250</xdr:colOff>
          <xdr:row>23</xdr:row>
          <xdr:rowOff>0</xdr:rowOff>
        </xdr:to>
        <xdr:sp macro="" textlink="">
          <xdr:nvSpPr>
            <xdr:cNvPr id="82091" name="Group Box 171" hidden="1">
              <a:extLst>
                <a:ext uri="{63B3BB69-23CF-44E3-9099-C40C66FF867C}">
                  <a14:compatExt spid="_x0000_s82091"/>
                </a:ext>
                <a:ext uri="{FF2B5EF4-FFF2-40B4-BE49-F238E27FC236}">
                  <a16:creationId xmlns:a16="http://schemas.microsoft.com/office/drawing/2014/main" id="{00000000-0008-0000-2F00-0000A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603250</xdr:colOff>
          <xdr:row>24</xdr:row>
          <xdr:rowOff>0</xdr:rowOff>
        </xdr:to>
        <xdr:sp macro="" textlink="">
          <xdr:nvSpPr>
            <xdr:cNvPr id="82092" name="Group Box 172" hidden="1">
              <a:extLst>
                <a:ext uri="{63B3BB69-23CF-44E3-9099-C40C66FF867C}">
                  <a14:compatExt spid="_x0000_s82092"/>
                </a:ext>
                <a:ext uri="{FF2B5EF4-FFF2-40B4-BE49-F238E27FC236}">
                  <a16:creationId xmlns:a16="http://schemas.microsoft.com/office/drawing/2014/main" id="{00000000-0008-0000-2F00-0000A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603250</xdr:colOff>
          <xdr:row>25</xdr:row>
          <xdr:rowOff>0</xdr:rowOff>
        </xdr:to>
        <xdr:sp macro="" textlink="">
          <xdr:nvSpPr>
            <xdr:cNvPr id="82093" name="Group Box 173" hidden="1">
              <a:extLst>
                <a:ext uri="{63B3BB69-23CF-44E3-9099-C40C66FF867C}">
                  <a14:compatExt spid="_x0000_s82093"/>
                </a:ext>
                <a:ext uri="{FF2B5EF4-FFF2-40B4-BE49-F238E27FC236}">
                  <a16:creationId xmlns:a16="http://schemas.microsoft.com/office/drawing/2014/main" id="{00000000-0008-0000-2F00-0000A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603250</xdr:colOff>
          <xdr:row>26</xdr:row>
          <xdr:rowOff>0</xdr:rowOff>
        </xdr:to>
        <xdr:sp macro="" textlink="">
          <xdr:nvSpPr>
            <xdr:cNvPr id="82094" name="Group Box 174" hidden="1">
              <a:extLst>
                <a:ext uri="{63B3BB69-23CF-44E3-9099-C40C66FF867C}">
                  <a14:compatExt spid="_x0000_s82094"/>
                </a:ext>
                <a:ext uri="{FF2B5EF4-FFF2-40B4-BE49-F238E27FC236}">
                  <a16:creationId xmlns:a16="http://schemas.microsoft.com/office/drawing/2014/main" id="{00000000-0008-0000-2F00-0000A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603250</xdr:colOff>
          <xdr:row>27</xdr:row>
          <xdr:rowOff>0</xdr:rowOff>
        </xdr:to>
        <xdr:sp macro="" textlink="">
          <xdr:nvSpPr>
            <xdr:cNvPr id="82095" name="Group Box 175" hidden="1">
              <a:extLst>
                <a:ext uri="{63B3BB69-23CF-44E3-9099-C40C66FF867C}">
                  <a14:compatExt spid="_x0000_s82095"/>
                </a:ext>
                <a:ext uri="{FF2B5EF4-FFF2-40B4-BE49-F238E27FC236}">
                  <a16:creationId xmlns:a16="http://schemas.microsoft.com/office/drawing/2014/main" id="{00000000-0008-0000-2F00-0000A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603250</xdr:colOff>
          <xdr:row>28</xdr:row>
          <xdr:rowOff>0</xdr:rowOff>
        </xdr:to>
        <xdr:sp macro="" textlink="">
          <xdr:nvSpPr>
            <xdr:cNvPr id="82096" name="Group Box 176" hidden="1">
              <a:extLst>
                <a:ext uri="{63B3BB69-23CF-44E3-9099-C40C66FF867C}">
                  <a14:compatExt spid="_x0000_s82096"/>
                </a:ext>
                <a:ext uri="{FF2B5EF4-FFF2-40B4-BE49-F238E27FC236}">
                  <a16:creationId xmlns:a16="http://schemas.microsoft.com/office/drawing/2014/main" id="{00000000-0008-0000-2F00-0000B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603250</xdr:colOff>
          <xdr:row>29</xdr:row>
          <xdr:rowOff>0</xdr:rowOff>
        </xdr:to>
        <xdr:sp macro="" textlink="">
          <xdr:nvSpPr>
            <xdr:cNvPr id="82097" name="Group Box 177" hidden="1">
              <a:extLst>
                <a:ext uri="{63B3BB69-23CF-44E3-9099-C40C66FF867C}">
                  <a14:compatExt spid="_x0000_s82097"/>
                </a:ext>
                <a:ext uri="{FF2B5EF4-FFF2-40B4-BE49-F238E27FC236}">
                  <a16:creationId xmlns:a16="http://schemas.microsoft.com/office/drawing/2014/main" id="{00000000-0008-0000-2F00-0000B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603250</xdr:colOff>
          <xdr:row>30</xdr:row>
          <xdr:rowOff>0</xdr:rowOff>
        </xdr:to>
        <xdr:sp macro="" textlink="">
          <xdr:nvSpPr>
            <xdr:cNvPr id="82098" name="Group Box 178" hidden="1">
              <a:extLst>
                <a:ext uri="{63B3BB69-23CF-44E3-9099-C40C66FF867C}">
                  <a14:compatExt spid="_x0000_s82098"/>
                </a:ext>
                <a:ext uri="{FF2B5EF4-FFF2-40B4-BE49-F238E27FC236}">
                  <a16:creationId xmlns:a16="http://schemas.microsoft.com/office/drawing/2014/main" id="{00000000-0008-0000-2F00-0000B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603250</xdr:colOff>
          <xdr:row>31</xdr:row>
          <xdr:rowOff>0</xdr:rowOff>
        </xdr:to>
        <xdr:sp macro="" textlink="">
          <xdr:nvSpPr>
            <xdr:cNvPr id="82099" name="Group Box 179" hidden="1">
              <a:extLst>
                <a:ext uri="{63B3BB69-23CF-44E3-9099-C40C66FF867C}">
                  <a14:compatExt spid="_x0000_s82099"/>
                </a:ext>
                <a:ext uri="{FF2B5EF4-FFF2-40B4-BE49-F238E27FC236}">
                  <a16:creationId xmlns:a16="http://schemas.microsoft.com/office/drawing/2014/main" id="{00000000-0008-0000-2F00-0000B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603250</xdr:colOff>
          <xdr:row>32</xdr:row>
          <xdr:rowOff>0</xdr:rowOff>
        </xdr:to>
        <xdr:sp macro="" textlink="">
          <xdr:nvSpPr>
            <xdr:cNvPr id="82100" name="Group Box 180" hidden="1">
              <a:extLst>
                <a:ext uri="{63B3BB69-23CF-44E3-9099-C40C66FF867C}">
                  <a14:compatExt spid="_x0000_s82100"/>
                </a:ext>
                <a:ext uri="{FF2B5EF4-FFF2-40B4-BE49-F238E27FC236}">
                  <a16:creationId xmlns:a16="http://schemas.microsoft.com/office/drawing/2014/main" id="{00000000-0008-0000-2F00-0000B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603250</xdr:colOff>
          <xdr:row>33</xdr:row>
          <xdr:rowOff>0</xdr:rowOff>
        </xdr:to>
        <xdr:sp macro="" textlink="">
          <xdr:nvSpPr>
            <xdr:cNvPr id="82101" name="Group Box 181" hidden="1">
              <a:extLst>
                <a:ext uri="{63B3BB69-23CF-44E3-9099-C40C66FF867C}">
                  <a14:compatExt spid="_x0000_s82101"/>
                </a:ext>
                <a:ext uri="{FF2B5EF4-FFF2-40B4-BE49-F238E27FC236}">
                  <a16:creationId xmlns:a16="http://schemas.microsoft.com/office/drawing/2014/main" id="{00000000-0008-0000-2F00-0000B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603250</xdr:colOff>
          <xdr:row>34</xdr:row>
          <xdr:rowOff>0</xdr:rowOff>
        </xdr:to>
        <xdr:sp macro="" textlink="">
          <xdr:nvSpPr>
            <xdr:cNvPr id="82102" name="Group Box 182" hidden="1">
              <a:extLst>
                <a:ext uri="{63B3BB69-23CF-44E3-9099-C40C66FF867C}">
                  <a14:compatExt spid="_x0000_s82102"/>
                </a:ext>
                <a:ext uri="{FF2B5EF4-FFF2-40B4-BE49-F238E27FC236}">
                  <a16:creationId xmlns:a16="http://schemas.microsoft.com/office/drawing/2014/main" id="{00000000-0008-0000-2F00-0000B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603250</xdr:colOff>
          <xdr:row>35</xdr:row>
          <xdr:rowOff>0</xdr:rowOff>
        </xdr:to>
        <xdr:sp macro="" textlink="">
          <xdr:nvSpPr>
            <xdr:cNvPr id="82103" name="Group Box 183" hidden="1">
              <a:extLst>
                <a:ext uri="{63B3BB69-23CF-44E3-9099-C40C66FF867C}">
                  <a14:compatExt spid="_x0000_s82103"/>
                </a:ext>
                <a:ext uri="{FF2B5EF4-FFF2-40B4-BE49-F238E27FC236}">
                  <a16:creationId xmlns:a16="http://schemas.microsoft.com/office/drawing/2014/main" id="{00000000-0008-0000-2F00-0000B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603250</xdr:colOff>
          <xdr:row>36</xdr:row>
          <xdr:rowOff>0</xdr:rowOff>
        </xdr:to>
        <xdr:sp macro="" textlink="">
          <xdr:nvSpPr>
            <xdr:cNvPr id="82104" name="Group Box 184" hidden="1">
              <a:extLst>
                <a:ext uri="{63B3BB69-23CF-44E3-9099-C40C66FF867C}">
                  <a14:compatExt spid="_x0000_s82104"/>
                </a:ext>
                <a:ext uri="{FF2B5EF4-FFF2-40B4-BE49-F238E27FC236}">
                  <a16:creationId xmlns:a16="http://schemas.microsoft.com/office/drawing/2014/main" id="{00000000-0008-0000-2F00-0000B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603250</xdr:colOff>
          <xdr:row>37</xdr:row>
          <xdr:rowOff>0</xdr:rowOff>
        </xdr:to>
        <xdr:sp macro="" textlink="">
          <xdr:nvSpPr>
            <xdr:cNvPr id="82105" name="Group Box 185" hidden="1">
              <a:extLst>
                <a:ext uri="{63B3BB69-23CF-44E3-9099-C40C66FF867C}">
                  <a14:compatExt spid="_x0000_s82105"/>
                </a:ext>
                <a:ext uri="{FF2B5EF4-FFF2-40B4-BE49-F238E27FC236}">
                  <a16:creationId xmlns:a16="http://schemas.microsoft.com/office/drawing/2014/main" id="{00000000-0008-0000-2F00-0000B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603250</xdr:colOff>
          <xdr:row>38</xdr:row>
          <xdr:rowOff>0</xdr:rowOff>
        </xdr:to>
        <xdr:sp macro="" textlink="">
          <xdr:nvSpPr>
            <xdr:cNvPr id="82106" name="Group Box 186" hidden="1">
              <a:extLst>
                <a:ext uri="{63B3BB69-23CF-44E3-9099-C40C66FF867C}">
                  <a14:compatExt spid="_x0000_s82106"/>
                </a:ext>
                <a:ext uri="{FF2B5EF4-FFF2-40B4-BE49-F238E27FC236}">
                  <a16:creationId xmlns:a16="http://schemas.microsoft.com/office/drawing/2014/main" id="{00000000-0008-0000-2F00-0000B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603250</xdr:colOff>
          <xdr:row>39</xdr:row>
          <xdr:rowOff>0</xdr:rowOff>
        </xdr:to>
        <xdr:sp macro="" textlink="">
          <xdr:nvSpPr>
            <xdr:cNvPr id="82107" name="Group Box 187" hidden="1">
              <a:extLst>
                <a:ext uri="{63B3BB69-23CF-44E3-9099-C40C66FF867C}">
                  <a14:compatExt spid="_x0000_s82107"/>
                </a:ext>
                <a:ext uri="{FF2B5EF4-FFF2-40B4-BE49-F238E27FC236}">
                  <a16:creationId xmlns:a16="http://schemas.microsoft.com/office/drawing/2014/main" id="{00000000-0008-0000-2F00-0000B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603250</xdr:colOff>
          <xdr:row>40</xdr:row>
          <xdr:rowOff>0</xdr:rowOff>
        </xdr:to>
        <xdr:sp macro="" textlink="">
          <xdr:nvSpPr>
            <xdr:cNvPr id="82108" name="Group Box 188" hidden="1">
              <a:extLst>
                <a:ext uri="{63B3BB69-23CF-44E3-9099-C40C66FF867C}">
                  <a14:compatExt spid="_x0000_s82108"/>
                </a:ext>
                <a:ext uri="{FF2B5EF4-FFF2-40B4-BE49-F238E27FC236}">
                  <a16:creationId xmlns:a16="http://schemas.microsoft.com/office/drawing/2014/main" id="{00000000-0008-0000-2F00-0000B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603250</xdr:colOff>
          <xdr:row>41</xdr:row>
          <xdr:rowOff>0</xdr:rowOff>
        </xdr:to>
        <xdr:sp macro="" textlink="">
          <xdr:nvSpPr>
            <xdr:cNvPr id="82109" name="Group Box 189" hidden="1">
              <a:extLst>
                <a:ext uri="{63B3BB69-23CF-44E3-9099-C40C66FF867C}">
                  <a14:compatExt spid="_x0000_s82109"/>
                </a:ext>
                <a:ext uri="{FF2B5EF4-FFF2-40B4-BE49-F238E27FC236}">
                  <a16:creationId xmlns:a16="http://schemas.microsoft.com/office/drawing/2014/main" id="{00000000-0008-0000-2F00-0000B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603250</xdr:colOff>
          <xdr:row>42</xdr:row>
          <xdr:rowOff>0</xdr:rowOff>
        </xdr:to>
        <xdr:sp macro="" textlink="">
          <xdr:nvSpPr>
            <xdr:cNvPr id="82110" name="Group Box 190" hidden="1">
              <a:extLst>
                <a:ext uri="{63B3BB69-23CF-44E3-9099-C40C66FF867C}">
                  <a14:compatExt spid="_x0000_s82110"/>
                </a:ext>
                <a:ext uri="{FF2B5EF4-FFF2-40B4-BE49-F238E27FC236}">
                  <a16:creationId xmlns:a16="http://schemas.microsoft.com/office/drawing/2014/main" id="{00000000-0008-0000-2F00-0000B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603250</xdr:colOff>
          <xdr:row>43</xdr:row>
          <xdr:rowOff>0</xdr:rowOff>
        </xdr:to>
        <xdr:sp macro="" textlink="">
          <xdr:nvSpPr>
            <xdr:cNvPr id="82111" name="Group Box 191" hidden="1">
              <a:extLst>
                <a:ext uri="{63B3BB69-23CF-44E3-9099-C40C66FF867C}">
                  <a14:compatExt spid="_x0000_s82111"/>
                </a:ext>
                <a:ext uri="{FF2B5EF4-FFF2-40B4-BE49-F238E27FC236}">
                  <a16:creationId xmlns:a16="http://schemas.microsoft.com/office/drawing/2014/main" id="{00000000-0008-0000-2F00-0000B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603250</xdr:colOff>
          <xdr:row>44</xdr:row>
          <xdr:rowOff>0</xdr:rowOff>
        </xdr:to>
        <xdr:sp macro="" textlink="">
          <xdr:nvSpPr>
            <xdr:cNvPr id="82112" name="Group Box 192" hidden="1">
              <a:extLst>
                <a:ext uri="{63B3BB69-23CF-44E3-9099-C40C66FF867C}">
                  <a14:compatExt spid="_x0000_s82112"/>
                </a:ext>
                <a:ext uri="{FF2B5EF4-FFF2-40B4-BE49-F238E27FC236}">
                  <a16:creationId xmlns:a16="http://schemas.microsoft.com/office/drawing/2014/main" id="{00000000-0008-0000-2F00-0000C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603250</xdr:colOff>
          <xdr:row>45</xdr:row>
          <xdr:rowOff>0</xdr:rowOff>
        </xdr:to>
        <xdr:sp macro="" textlink="">
          <xdr:nvSpPr>
            <xdr:cNvPr id="82113" name="Group Box 193" hidden="1">
              <a:extLst>
                <a:ext uri="{63B3BB69-23CF-44E3-9099-C40C66FF867C}">
                  <a14:compatExt spid="_x0000_s82113"/>
                </a:ext>
                <a:ext uri="{FF2B5EF4-FFF2-40B4-BE49-F238E27FC236}">
                  <a16:creationId xmlns:a16="http://schemas.microsoft.com/office/drawing/2014/main" id="{00000000-0008-0000-2F00-0000C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603250</xdr:colOff>
          <xdr:row>46</xdr:row>
          <xdr:rowOff>0</xdr:rowOff>
        </xdr:to>
        <xdr:sp macro="" textlink="">
          <xdr:nvSpPr>
            <xdr:cNvPr id="82114" name="Group Box 194" hidden="1">
              <a:extLst>
                <a:ext uri="{63B3BB69-23CF-44E3-9099-C40C66FF867C}">
                  <a14:compatExt spid="_x0000_s82114"/>
                </a:ext>
                <a:ext uri="{FF2B5EF4-FFF2-40B4-BE49-F238E27FC236}">
                  <a16:creationId xmlns:a16="http://schemas.microsoft.com/office/drawing/2014/main" id="{00000000-0008-0000-2F00-0000C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603250</xdr:colOff>
          <xdr:row>47</xdr:row>
          <xdr:rowOff>0</xdr:rowOff>
        </xdr:to>
        <xdr:sp macro="" textlink="">
          <xdr:nvSpPr>
            <xdr:cNvPr id="82115" name="Group Box 195" hidden="1">
              <a:extLst>
                <a:ext uri="{63B3BB69-23CF-44E3-9099-C40C66FF867C}">
                  <a14:compatExt spid="_x0000_s82115"/>
                </a:ext>
                <a:ext uri="{FF2B5EF4-FFF2-40B4-BE49-F238E27FC236}">
                  <a16:creationId xmlns:a16="http://schemas.microsoft.com/office/drawing/2014/main" id="{00000000-0008-0000-2F00-0000C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603250</xdr:colOff>
          <xdr:row>48</xdr:row>
          <xdr:rowOff>0</xdr:rowOff>
        </xdr:to>
        <xdr:sp macro="" textlink="">
          <xdr:nvSpPr>
            <xdr:cNvPr id="82116" name="Group Box 196" hidden="1">
              <a:extLst>
                <a:ext uri="{63B3BB69-23CF-44E3-9099-C40C66FF867C}">
                  <a14:compatExt spid="_x0000_s82116"/>
                </a:ext>
                <a:ext uri="{FF2B5EF4-FFF2-40B4-BE49-F238E27FC236}">
                  <a16:creationId xmlns:a16="http://schemas.microsoft.com/office/drawing/2014/main" id="{00000000-0008-0000-2F00-0000C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603250</xdr:colOff>
          <xdr:row>49</xdr:row>
          <xdr:rowOff>0</xdr:rowOff>
        </xdr:to>
        <xdr:sp macro="" textlink="">
          <xdr:nvSpPr>
            <xdr:cNvPr id="82117" name="Group Box 197" hidden="1">
              <a:extLst>
                <a:ext uri="{63B3BB69-23CF-44E3-9099-C40C66FF867C}">
                  <a14:compatExt spid="_x0000_s82117"/>
                </a:ext>
                <a:ext uri="{FF2B5EF4-FFF2-40B4-BE49-F238E27FC236}">
                  <a16:creationId xmlns:a16="http://schemas.microsoft.com/office/drawing/2014/main" id="{00000000-0008-0000-2F00-0000C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603250</xdr:colOff>
          <xdr:row>50</xdr:row>
          <xdr:rowOff>0</xdr:rowOff>
        </xdr:to>
        <xdr:sp macro="" textlink="">
          <xdr:nvSpPr>
            <xdr:cNvPr id="82118" name="Group Box 198" hidden="1">
              <a:extLst>
                <a:ext uri="{63B3BB69-23CF-44E3-9099-C40C66FF867C}">
                  <a14:compatExt spid="_x0000_s82118"/>
                </a:ext>
                <a:ext uri="{FF2B5EF4-FFF2-40B4-BE49-F238E27FC236}">
                  <a16:creationId xmlns:a16="http://schemas.microsoft.com/office/drawing/2014/main" id="{00000000-0008-0000-2F00-0000C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603250</xdr:colOff>
          <xdr:row>51</xdr:row>
          <xdr:rowOff>0</xdr:rowOff>
        </xdr:to>
        <xdr:sp macro="" textlink="">
          <xdr:nvSpPr>
            <xdr:cNvPr id="82119" name="Group Box 199" hidden="1">
              <a:extLst>
                <a:ext uri="{63B3BB69-23CF-44E3-9099-C40C66FF867C}">
                  <a14:compatExt spid="_x0000_s82119"/>
                </a:ext>
                <a:ext uri="{FF2B5EF4-FFF2-40B4-BE49-F238E27FC236}">
                  <a16:creationId xmlns:a16="http://schemas.microsoft.com/office/drawing/2014/main" id="{00000000-0008-0000-2F00-0000C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603250</xdr:colOff>
          <xdr:row>52</xdr:row>
          <xdr:rowOff>0</xdr:rowOff>
        </xdr:to>
        <xdr:sp macro="" textlink="">
          <xdr:nvSpPr>
            <xdr:cNvPr id="82120" name="Group Box 200" hidden="1">
              <a:extLst>
                <a:ext uri="{63B3BB69-23CF-44E3-9099-C40C66FF867C}">
                  <a14:compatExt spid="_x0000_s82120"/>
                </a:ext>
                <a:ext uri="{FF2B5EF4-FFF2-40B4-BE49-F238E27FC236}">
                  <a16:creationId xmlns:a16="http://schemas.microsoft.com/office/drawing/2014/main" id="{00000000-0008-0000-2F00-0000C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203" name="AutoShape 48">
          <a:hlinkClick xmlns:r="http://schemas.openxmlformats.org/officeDocument/2006/relationships" r:id="rId2"/>
          <a:extLst>
            <a:ext uri="{FF2B5EF4-FFF2-40B4-BE49-F238E27FC236}">
              <a16:creationId xmlns:a16="http://schemas.microsoft.com/office/drawing/2014/main" id="{00000000-0008-0000-2F00-0000CB000000}"/>
            </a:ext>
          </a:extLst>
        </xdr:cNvPr>
        <xdr:cNvSpPr>
          <a:spLocks noChangeArrowheads="1"/>
        </xdr:cNvSpPr>
      </xdr:nvSpPr>
      <xdr:spPr bwMode="auto">
        <a:xfrm>
          <a:off x="7372350" y="1611575"/>
          <a:ext cx="1054100" cy="6268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204" name="AutoShape 48">
          <a:hlinkClick xmlns:r="http://schemas.openxmlformats.org/officeDocument/2006/relationships" r:id="rId3"/>
          <a:extLst>
            <a:ext uri="{FF2B5EF4-FFF2-40B4-BE49-F238E27FC236}">
              <a16:creationId xmlns:a16="http://schemas.microsoft.com/office/drawing/2014/main" id="{00000000-0008-0000-2F00-0000CC000000}"/>
            </a:ext>
          </a:extLst>
        </xdr:cNvPr>
        <xdr:cNvSpPr>
          <a:spLocks noChangeArrowheads="1"/>
        </xdr:cNvSpPr>
      </xdr:nvSpPr>
      <xdr:spPr bwMode="auto">
        <a:xfrm>
          <a:off x="7359650" y="911225"/>
          <a:ext cx="1053016" cy="61312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editAs="oneCell">
    <xdr:from>
      <xdr:col>2</xdr:col>
      <xdr:colOff>285750</xdr:colOff>
      <xdr:row>36</xdr:row>
      <xdr:rowOff>28576</xdr:rowOff>
    </xdr:from>
    <xdr:to>
      <xdr:col>4</xdr:col>
      <xdr:colOff>2647950</xdr:colOff>
      <xdr:row>36</xdr:row>
      <xdr:rowOff>1413872</xdr:rowOff>
    </xdr:to>
    <xdr:pic>
      <xdr:nvPicPr>
        <xdr:cNvPr id="4" name="Picture 13">
          <a:extLst>
            <a:ext uri="{FF2B5EF4-FFF2-40B4-BE49-F238E27FC236}">
              <a16:creationId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4400" y="13916026"/>
          <a:ext cx="2990850" cy="1385296"/>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0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xdr:colOff>
      <xdr:row>2</xdr:row>
      <xdr:rowOff>247650</xdr:rowOff>
    </xdr:from>
    <xdr:to>
      <xdr:col>4</xdr:col>
      <xdr:colOff>433891</xdr:colOff>
      <xdr:row>2</xdr:row>
      <xdr:rowOff>879826</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3000-000006000000}"/>
            </a:ext>
          </a:extLst>
        </xdr:cNvPr>
        <xdr:cNvSpPr>
          <a:spLocks noChangeArrowheads="1"/>
        </xdr:cNvSpPr>
      </xdr:nvSpPr>
      <xdr:spPr bwMode="auto">
        <a:xfrm>
          <a:off x="638175" y="600075"/>
          <a:ext cx="105301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2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2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4" name="Toelichting met afgeronde rechthoek 3">
          <a:extLst>
            <a:ext uri="{FF2B5EF4-FFF2-40B4-BE49-F238E27FC236}">
              <a16:creationId xmlns:a16="http://schemas.microsoft.com/office/drawing/2014/main" id="{00000000-0008-0000-0400-000004000000}"/>
            </a:ext>
          </a:extLst>
        </xdr:cNvPr>
        <xdr:cNvSpPr/>
      </xdr:nvSpPr>
      <xdr:spPr bwMode="auto">
        <a:xfrm>
          <a:off x="7496174" y="2171700"/>
          <a:ext cx="5410201" cy="3924300"/>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7" name="Pijl: links 7">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bwMode="auto">
        <a:xfrm flipH="1">
          <a:off x="7743825" y="619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581025</xdr:colOff>
      <xdr:row>2</xdr:row>
      <xdr:rowOff>104775</xdr:rowOff>
    </xdr:from>
    <xdr:to>
      <xdr:col>11</xdr:col>
      <xdr:colOff>590550</xdr:colOff>
      <xdr:row>53</xdr:row>
      <xdr:rowOff>85725</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523875"/>
          <a:ext cx="6715125" cy="823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P%20-%20JAN%202020%20-%20De%20Kardoen/9.GP%20%20-%20JAN%202020%20-%20GROEP%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3.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27.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omments" Target="../comments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6.xml"/><Relationship Id="rId1" Type="http://schemas.openxmlformats.org/officeDocument/2006/relationships/printerSettings" Target="../printerSettings/printerSettings29.bin"/><Relationship Id="rId4" Type="http://schemas.openxmlformats.org/officeDocument/2006/relationships/comments" Target="../comments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8.xml"/><Relationship Id="rId1" Type="http://schemas.openxmlformats.org/officeDocument/2006/relationships/printerSettings" Target="../printerSettings/printerSettings31.bin"/><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6" Type="http://schemas.openxmlformats.org/officeDocument/2006/relationships/ctrlProp" Target="../ctrlProps/ctrlProp59.xml"/><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47" Type="http://schemas.openxmlformats.org/officeDocument/2006/relationships/ctrlProp" Target="../ctrlProps/ctrlProp80.xml"/><Relationship Id="rId63" Type="http://schemas.openxmlformats.org/officeDocument/2006/relationships/ctrlProp" Target="../ctrlProps/ctrlProp96.xml"/><Relationship Id="rId68" Type="http://schemas.openxmlformats.org/officeDocument/2006/relationships/ctrlProp" Target="../ctrlProps/ctrlProp101.xml"/><Relationship Id="rId84" Type="http://schemas.openxmlformats.org/officeDocument/2006/relationships/ctrlProp" Target="../ctrlProps/ctrlProp117.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38" Type="http://schemas.openxmlformats.org/officeDocument/2006/relationships/ctrlProp" Target="../ctrlProps/ctrlProp171.xml"/><Relationship Id="rId154" Type="http://schemas.openxmlformats.org/officeDocument/2006/relationships/ctrlProp" Target="../ctrlProps/ctrlProp187.xml"/><Relationship Id="rId159" Type="http://schemas.openxmlformats.org/officeDocument/2006/relationships/ctrlProp" Target="../ctrlProps/ctrlProp192.xml"/><Relationship Id="rId175" Type="http://schemas.openxmlformats.org/officeDocument/2006/relationships/ctrlProp" Target="../ctrlProps/ctrlProp208.xml"/><Relationship Id="rId170" Type="http://schemas.openxmlformats.org/officeDocument/2006/relationships/ctrlProp" Target="../ctrlProps/ctrlProp203.xml"/><Relationship Id="rId191" Type="http://schemas.openxmlformats.org/officeDocument/2006/relationships/ctrlProp" Target="../ctrlProps/ctrlProp224.xml"/><Relationship Id="rId16" Type="http://schemas.openxmlformats.org/officeDocument/2006/relationships/ctrlProp" Target="../ctrlProps/ctrlProp49.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37" Type="http://schemas.openxmlformats.org/officeDocument/2006/relationships/ctrlProp" Target="../ctrlProps/ctrlProp70.xml"/><Relationship Id="rId53" Type="http://schemas.openxmlformats.org/officeDocument/2006/relationships/ctrlProp" Target="../ctrlProps/ctrlProp86.xml"/><Relationship Id="rId58" Type="http://schemas.openxmlformats.org/officeDocument/2006/relationships/ctrlProp" Target="../ctrlProps/ctrlProp91.xml"/><Relationship Id="rId74" Type="http://schemas.openxmlformats.org/officeDocument/2006/relationships/ctrlProp" Target="../ctrlProps/ctrlProp107.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28" Type="http://schemas.openxmlformats.org/officeDocument/2006/relationships/ctrlProp" Target="../ctrlProps/ctrlProp161.xml"/><Relationship Id="rId144" Type="http://schemas.openxmlformats.org/officeDocument/2006/relationships/ctrlProp" Target="../ctrlProps/ctrlProp177.xml"/><Relationship Id="rId149" Type="http://schemas.openxmlformats.org/officeDocument/2006/relationships/ctrlProp" Target="../ctrlProps/ctrlProp182.xml"/><Relationship Id="rId5" Type="http://schemas.openxmlformats.org/officeDocument/2006/relationships/ctrlProp" Target="../ctrlProps/ctrlProp38.xml"/><Relationship Id="rId90" Type="http://schemas.openxmlformats.org/officeDocument/2006/relationships/ctrlProp" Target="../ctrlProps/ctrlProp123.xml"/><Relationship Id="rId95" Type="http://schemas.openxmlformats.org/officeDocument/2006/relationships/ctrlProp" Target="../ctrlProps/ctrlProp128.xml"/><Relationship Id="rId160" Type="http://schemas.openxmlformats.org/officeDocument/2006/relationships/ctrlProp" Target="../ctrlProps/ctrlProp193.xml"/><Relationship Id="rId165" Type="http://schemas.openxmlformats.org/officeDocument/2006/relationships/ctrlProp" Target="../ctrlProps/ctrlProp198.xml"/><Relationship Id="rId181" Type="http://schemas.openxmlformats.org/officeDocument/2006/relationships/ctrlProp" Target="../ctrlProps/ctrlProp214.xml"/><Relationship Id="rId186" Type="http://schemas.openxmlformats.org/officeDocument/2006/relationships/ctrlProp" Target="../ctrlProps/ctrlProp219.xml"/><Relationship Id="rId22" Type="http://schemas.openxmlformats.org/officeDocument/2006/relationships/ctrlProp" Target="../ctrlProps/ctrlProp55.xml"/><Relationship Id="rId27" Type="http://schemas.openxmlformats.org/officeDocument/2006/relationships/ctrlProp" Target="../ctrlProps/ctrlProp60.xml"/><Relationship Id="rId43" Type="http://schemas.openxmlformats.org/officeDocument/2006/relationships/ctrlProp" Target="../ctrlProps/ctrlProp76.xml"/><Relationship Id="rId48" Type="http://schemas.openxmlformats.org/officeDocument/2006/relationships/ctrlProp" Target="../ctrlProps/ctrlProp81.xml"/><Relationship Id="rId64" Type="http://schemas.openxmlformats.org/officeDocument/2006/relationships/ctrlProp" Target="../ctrlProps/ctrlProp97.xml"/><Relationship Id="rId69" Type="http://schemas.openxmlformats.org/officeDocument/2006/relationships/ctrlProp" Target="../ctrlProps/ctrlProp102.xml"/><Relationship Id="rId113" Type="http://schemas.openxmlformats.org/officeDocument/2006/relationships/ctrlProp" Target="../ctrlProps/ctrlProp146.xml"/><Relationship Id="rId118" Type="http://schemas.openxmlformats.org/officeDocument/2006/relationships/ctrlProp" Target="../ctrlProps/ctrlProp151.xml"/><Relationship Id="rId134" Type="http://schemas.openxmlformats.org/officeDocument/2006/relationships/ctrlProp" Target="../ctrlProps/ctrlProp167.xml"/><Relationship Id="rId139" Type="http://schemas.openxmlformats.org/officeDocument/2006/relationships/ctrlProp" Target="../ctrlProps/ctrlProp172.xml"/><Relationship Id="rId80" Type="http://schemas.openxmlformats.org/officeDocument/2006/relationships/ctrlProp" Target="../ctrlProps/ctrlProp113.xml"/><Relationship Id="rId85" Type="http://schemas.openxmlformats.org/officeDocument/2006/relationships/ctrlProp" Target="../ctrlProps/ctrlProp118.xml"/><Relationship Id="rId150" Type="http://schemas.openxmlformats.org/officeDocument/2006/relationships/ctrlProp" Target="../ctrlProps/ctrlProp183.xml"/><Relationship Id="rId155" Type="http://schemas.openxmlformats.org/officeDocument/2006/relationships/ctrlProp" Target="../ctrlProps/ctrlProp188.xml"/><Relationship Id="rId171" Type="http://schemas.openxmlformats.org/officeDocument/2006/relationships/ctrlProp" Target="../ctrlProps/ctrlProp204.xml"/><Relationship Id="rId176" Type="http://schemas.openxmlformats.org/officeDocument/2006/relationships/ctrlProp" Target="../ctrlProps/ctrlProp209.xml"/><Relationship Id="rId192" Type="http://schemas.openxmlformats.org/officeDocument/2006/relationships/comments" Target="../comments8.xml"/><Relationship Id="rId12" Type="http://schemas.openxmlformats.org/officeDocument/2006/relationships/ctrlProp" Target="../ctrlProps/ctrlProp45.xml"/><Relationship Id="rId17" Type="http://schemas.openxmlformats.org/officeDocument/2006/relationships/ctrlProp" Target="../ctrlProps/ctrlProp50.xml"/><Relationship Id="rId33" Type="http://schemas.openxmlformats.org/officeDocument/2006/relationships/ctrlProp" Target="../ctrlProps/ctrlProp66.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08" Type="http://schemas.openxmlformats.org/officeDocument/2006/relationships/ctrlProp" Target="../ctrlProps/ctrlProp141.xml"/><Relationship Id="rId124" Type="http://schemas.openxmlformats.org/officeDocument/2006/relationships/ctrlProp" Target="../ctrlProps/ctrlProp157.xml"/><Relationship Id="rId129" Type="http://schemas.openxmlformats.org/officeDocument/2006/relationships/ctrlProp" Target="../ctrlProps/ctrlProp162.xml"/><Relationship Id="rId54" Type="http://schemas.openxmlformats.org/officeDocument/2006/relationships/ctrlProp" Target="../ctrlProps/ctrlProp87.xml"/><Relationship Id="rId70" Type="http://schemas.openxmlformats.org/officeDocument/2006/relationships/ctrlProp" Target="../ctrlProps/ctrlProp103.xml"/><Relationship Id="rId75" Type="http://schemas.openxmlformats.org/officeDocument/2006/relationships/ctrlProp" Target="../ctrlProps/ctrlProp108.xml"/><Relationship Id="rId91" Type="http://schemas.openxmlformats.org/officeDocument/2006/relationships/ctrlProp" Target="../ctrlProps/ctrlProp124.xml"/><Relationship Id="rId96" Type="http://schemas.openxmlformats.org/officeDocument/2006/relationships/ctrlProp" Target="../ctrlProps/ctrlProp129.xml"/><Relationship Id="rId140" Type="http://schemas.openxmlformats.org/officeDocument/2006/relationships/ctrlProp" Target="../ctrlProps/ctrlProp173.xml"/><Relationship Id="rId145" Type="http://schemas.openxmlformats.org/officeDocument/2006/relationships/ctrlProp" Target="../ctrlProps/ctrlProp178.xml"/><Relationship Id="rId161" Type="http://schemas.openxmlformats.org/officeDocument/2006/relationships/ctrlProp" Target="../ctrlProps/ctrlProp194.xml"/><Relationship Id="rId166" Type="http://schemas.openxmlformats.org/officeDocument/2006/relationships/ctrlProp" Target="../ctrlProps/ctrlProp199.xml"/><Relationship Id="rId182" Type="http://schemas.openxmlformats.org/officeDocument/2006/relationships/ctrlProp" Target="../ctrlProps/ctrlProp215.xml"/><Relationship Id="rId187" Type="http://schemas.openxmlformats.org/officeDocument/2006/relationships/ctrlProp" Target="../ctrlProps/ctrlProp220.xml"/><Relationship Id="rId1" Type="http://schemas.openxmlformats.org/officeDocument/2006/relationships/printerSettings" Target="../printerSettings/printerSettings32.bin"/><Relationship Id="rId6" Type="http://schemas.openxmlformats.org/officeDocument/2006/relationships/ctrlProp" Target="../ctrlProps/ctrlProp39.xml"/><Relationship Id="rId23" Type="http://schemas.openxmlformats.org/officeDocument/2006/relationships/ctrlProp" Target="../ctrlProps/ctrlProp56.xml"/><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119" Type="http://schemas.openxmlformats.org/officeDocument/2006/relationships/ctrlProp" Target="../ctrlProps/ctrlProp152.xml"/><Relationship Id="rId44" Type="http://schemas.openxmlformats.org/officeDocument/2006/relationships/ctrlProp" Target="../ctrlProps/ctrlProp77.xml"/><Relationship Id="rId60" Type="http://schemas.openxmlformats.org/officeDocument/2006/relationships/ctrlProp" Target="../ctrlProps/ctrlProp93.xml"/><Relationship Id="rId65" Type="http://schemas.openxmlformats.org/officeDocument/2006/relationships/ctrlProp" Target="../ctrlProps/ctrlProp98.xml"/><Relationship Id="rId81" Type="http://schemas.openxmlformats.org/officeDocument/2006/relationships/ctrlProp" Target="../ctrlProps/ctrlProp114.xml"/><Relationship Id="rId86" Type="http://schemas.openxmlformats.org/officeDocument/2006/relationships/ctrlProp" Target="../ctrlProps/ctrlProp119.xml"/><Relationship Id="rId130" Type="http://schemas.openxmlformats.org/officeDocument/2006/relationships/ctrlProp" Target="../ctrlProps/ctrlProp163.xml"/><Relationship Id="rId135" Type="http://schemas.openxmlformats.org/officeDocument/2006/relationships/ctrlProp" Target="../ctrlProps/ctrlProp168.xml"/><Relationship Id="rId151" Type="http://schemas.openxmlformats.org/officeDocument/2006/relationships/ctrlProp" Target="../ctrlProps/ctrlProp184.xml"/><Relationship Id="rId156" Type="http://schemas.openxmlformats.org/officeDocument/2006/relationships/ctrlProp" Target="../ctrlProps/ctrlProp189.xml"/><Relationship Id="rId177" Type="http://schemas.openxmlformats.org/officeDocument/2006/relationships/ctrlProp" Target="../ctrlProps/ctrlProp210.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39.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8.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5" x14ac:dyDescent="0.25"/>
  <sheetData>
    <row r="3" spans="2:2" ht="20" x14ac:dyDescent="0.4">
      <c r="B3" s="31" t="s">
        <v>223</v>
      </c>
    </row>
  </sheetData>
  <sheetProtection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796875" defaultRowHeight="12.5" x14ac:dyDescent="0.25"/>
  <cols>
    <col min="1" max="16384" width="9.1796875" style="190"/>
  </cols>
  <sheetData>
    <row r="2" spans="2:2" ht="20" x14ac:dyDescent="0.4">
      <c r="B2" s="189" t="s">
        <v>226</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99D1-09F7-4530-83AC-1DCAB5A610DD}">
  <dimension ref="B2"/>
  <sheetViews>
    <sheetView showGridLines="0" showRowColHeaders="0" zoomScaleNormal="100" workbookViewId="0">
      <selection activeCell="R4" sqref="R4:R5"/>
    </sheetView>
  </sheetViews>
  <sheetFormatPr defaultColWidth="9.1796875" defaultRowHeight="12.5" x14ac:dyDescent="0.25"/>
  <cols>
    <col min="1" max="16384" width="9.1796875" style="190"/>
  </cols>
  <sheetData>
    <row r="2" spans="2:2" ht="20" x14ac:dyDescent="0.4">
      <c r="B2" s="189" t="s">
        <v>228</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L12"/>
  <sheetViews>
    <sheetView showGridLines="0" showRowColHeaders="0" zoomScaleNormal="100" workbookViewId="0"/>
  </sheetViews>
  <sheetFormatPr defaultColWidth="9.1796875" defaultRowHeight="12.5" x14ac:dyDescent="0.25"/>
  <cols>
    <col min="1" max="16384" width="9.1796875" style="190"/>
  </cols>
  <sheetData>
    <row r="3" spans="2:12" ht="20" x14ac:dyDescent="0.25">
      <c r="B3" s="355" t="s">
        <v>231</v>
      </c>
    </row>
    <row r="11" spans="2:12" x14ac:dyDescent="0.25">
      <c r="L11" s="185"/>
    </row>
    <row r="12" spans="2:12" x14ac:dyDescent="0.25">
      <c r="L12" s="185"/>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L12"/>
  <sheetViews>
    <sheetView showGridLines="0" showRowColHeaders="0" zoomScale="125" zoomScaleNormal="125" workbookViewId="0"/>
  </sheetViews>
  <sheetFormatPr defaultColWidth="9.1796875" defaultRowHeight="12.5" x14ac:dyDescent="0.25"/>
  <cols>
    <col min="1" max="16384" width="9.1796875" style="190"/>
  </cols>
  <sheetData>
    <row r="3" spans="2:12" ht="20" x14ac:dyDescent="0.25">
      <c r="B3" s="355" t="s">
        <v>271</v>
      </c>
    </row>
    <row r="11" spans="2:12" x14ac:dyDescent="0.25">
      <c r="L11" s="185"/>
    </row>
    <row r="12" spans="2:12" x14ac:dyDescent="0.25">
      <c r="L12" s="185"/>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L12"/>
  <sheetViews>
    <sheetView showGridLines="0" showRowColHeaders="0" zoomScale="125" zoomScaleNormal="125" workbookViewId="0"/>
  </sheetViews>
  <sheetFormatPr defaultColWidth="9.1796875" defaultRowHeight="12.5" x14ac:dyDescent="0.25"/>
  <cols>
    <col min="1" max="16384" width="9.1796875" style="190"/>
  </cols>
  <sheetData>
    <row r="3" spans="2:12" ht="20" x14ac:dyDescent="0.25">
      <c r="B3" s="355" t="s">
        <v>264</v>
      </c>
    </row>
    <row r="11" spans="2:12" x14ac:dyDescent="0.25">
      <c r="L11" s="185"/>
    </row>
    <row r="12" spans="2:12" x14ac:dyDescent="0.25">
      <c r="L12" s="185"/>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73"/>
  <sheetViews>
    <sheetView showGridLines="0" showRowColHeaders="0" zoomScaleNormal="100" workbookViewId="0">
      <selection activeCell="C48" sqref="C48:H51"/>
    </sheetView>
  </sheetViews>
  <sheetFormatPr defaultColWidth="9.1796875" defaultRowHeight="12.5" x14ac:dyDescent="0.25"/>
  <cols>
    <col min="1" max="1" width="9.1796875" style="2"/>
    <col min="2" max="2" width="4" style="7" bestFit="1" customWidth="1"/>
    <col min="3" max="3" width="20.7265625" style="6" customWidth="1"/>
    <col min="4" max="8" width="5.7265625" style="3" customWidth="1"/>
    <col min="9" max="10" width="5.7265625" style="3" hidden="1" customWidth="1"/>
    <col min="11" max="13" width="5.7265625" style="3" customWidth="1"/>
    <col min="14" max="17" width="5.7265625" style="599" customWidth="1"/>
    <col min="18" max="18" width="9.1796875" style="2" customWidth="1"/>
    <col min="19" max="19" width="4" style="7" bestFit="1" customWidth="1"/>
    <col min="20" max="20" width="20.7265625" style="6" customWidth="1"/>
    <col min="21" max="25" width="5.7265625" style="3" customWidth="1"/>
    <col min="26" max="27" width="5.7265625" style="3" hidden="1" customWidth="1"/>
    <col min="28" max="30" width="5.7265625" style="3" customWidth="1"/>
    <col min="31" max="16384" width="9.1796875" style="2"/>
  </cols>
  <sheetData>
    <row r="1" spans="1:30" ht="16" thickBot="1" x14ac:dyDescent="0.4">
      <c r="AB1" s="451" t="s">
        <v>276</v>
      </c>
    </row>
    <row r="2" spans="1:30" ht="31.5" thickBot="1" x14ac:dyDescent="0.3">
      <c r="C2" s="448" t="s">
        <v>1</v>
      </c>
      <c r="D2" s="767" t="str">
        <f>BEGINBLAD!$I$3</f>
        <v>groep 7</v>
      </c>
      <c r="E2" s="768"/>
      <c r="F2" s="768"/>
      <c r="G2" s="768"/>
      <c r="H2" s="769"/>
      <c r="O2" s="770" t="s">
        <v>397</v>
      </c>
      <c r="P2" s="771"/>
      <c r="Q2" s="772"/>
      <c r="T2" s="447" t="s">
        <v>274</v>
      </c>
      <c r="U2" s="454">
        <v>49</v>
      </c>
      <c r="V2" s="454">
        <v>49</v>
      </c>
      <c r="W2" s="454">
        <v>49</v>
      </c>
      <c r="X2" s="454">
        <v>49</v>
      </c>
      <c r="Y2" s="454">
        <v>49</v>
      </c>
      <c r="AB2" s="449">
        <f>AVERAGE(U2:AA2)</f>
        <v>49</v>
      </c>
    </row>
    <row r="3" spans="1:30" ht="21.5" hidden="1" x14ac:dyDescent="0.25">
      <c r="C3" s="9"/>
      <c r="D3" s="446"/>
      <c r="E3" s="446"/>
      <c r="F3" s="446"/>
      <c r="G3" s="446"/>
      <c r="H3" s="446"/>
      <c r="O3" s="773"/>
      <c r="P3" s="774"/>
      <c r="Q3" s="775"/>
      <c r="T3" s="442"/>
      <c r="U3" s="446">
        <f>U2+5</f>
        <v>54</v>
      </c>
      <c r="V3" s="446">
        <f t="shared" ref="V3:Y3" si="0">V2+5</f>
        <v>54</v>
      </c>
      <c r="W3" s="446">
        <f t="shared" si="0"/>
        <v>54</v>
      </c>
      <c r="X3" s="446">
        <f t="shared" si="0"/>
        <v>54</v>
      </c>
      <c r="Y3" s="446">
        <f t="shared" si="0"/>
        <v>54</v>
      </c>
    </row>
    <row r="4" spans="1:30" ht="21.5" hidden="1" x14ac:dyDescent="0.25">
      <c r="C4" s="9"/>
      <c r="D4" s="446"/>
      <c r="E4" s="446"/>
      <c r="F4" s="446"/>
      <c r="G4" s="446"/>
      <c r="H4" s="446"/>
      <c r="O4" s="773"/>
      <c r="P4" s="774"/>
      <c r="Q4" s="775"/>
      <c r="T4" s="442"/>
      <c r="U4" s="446">
        <f>U2-5</f>
        <v>44</v>
      </c>
      <c r="V4" s="446">
        <f t="shared" ref="V4:Y4" si="1">V2-5</f>
        <v>44</v>
      </c>
      <c r="W4" s="446">
        <f t="shared" si="1"/>
        <v>44</v>
      </c>
      <c r="X4" s="446">
        <f t="shared" si="1"/>
        <v>44</v>
      </c>
      <c r="Y4" s="446">
        <f t="shared" si="1"/>
        <v>44</v>
      </c>
    </row>
    <row r="5" spans="1:30" x14ac:dyDescent="0.25">
      <c r="C5" s="71" t="s">
        <v>273</v>
      </c>
      <c r="O5" s="773"/>
      <c r="P5" s="774"/>
      <c r="Q5" s="775"/>
      <c r="T5" s="71" t="s">
        <v>272</v>
      </c>
    </row>
    <row r="6" spans="1:30" ht="60" customHeight="1" thickBot="1" x14ac:dyDescent="0.4">
      <c r="C6" s="18" t="s">
        <v>11</v>
      </c>
      <c r="D6" s="19"/>
      <c r="E6" s="19"/>
      <c r="F6" s="19"/>
      <c r="G6" s="191"/>
      <c r="H6" s="19"/>
      <c r="O6" s="776"/>
      <c r="P6" s="777"/>
      <c r="Q6" s="778"/>
      <c r="T6" s="18" t="s">
        <v>11</v>
      </c>
      <c r="U6" s="19"/>
      <c r="V6" s="19"/>
      <c r="W6" s="19"/>
      <c r="X6" s="191"/>
      <c r="Y6" s="19"/>
    </row>
    <row r="7" spans="1:30" ht="5.15" customHeight="1" x14ac:dyDescent="0.25">
      <c r="C7" s="8"/>
      <c r="T7" s="8"/>
    </row>
    <row r="8" spans="1:30" ht="102" x14ac:dyDescent="0.25">
      <c r="A8" s="28" t="s">
        <v>2</v>
      </c>
      <c r="B8" s="48"/>
      <c r="C8" s="49" t="s">
        <v>5</v>
      </c>
      <c r="D8" s="192" t="s">
        <v>91</v>
      </c>
      <c r="E8" s="50" t="s">
        <v>8</v>
      </c>
      <c r="F8" s="50" t="s">
        <v>3</v>
      </c>
      <c r="G8" s="50" t="s">
        <v>4</v>
      </c>
      <c r="H8" s="192" t="s">
        <v>101</v>
      </c>
      <c r="I8" s="50" t="s">
        <v>0</v>
      </c>
      <c r="J8" s="50" t="s">
        <v>6</v>
      </c>
      <c r="K8" s="11"/>
      <c r="L8" s="53" t="s">
        <v>9</v>
      </c>
      <c r="M8" s="53" t="s">
        <v>10</v>
      </c>
      <c r="N8" s="600"/>
      <c r="O8" s="601" t="s">
        <v>398</v>
      </c>
      <c r="P8" s="601" t="s">
        <v>399</v>
      </c>
      <c r="Q8" s="601" t="s">
        <v>400</v>
      </c>
      <c r="R8" s="28" t="s">
        <v>2</v>
      </c>
      <c r="S8" s="48"/>
      <c r="T8" s="49" t="s">
        <v>5</v>
      </c>
      <c r="U8" s="192" t="s">
        <v>91</v>
      </c>
      <c r="V8" s="50" t="s">
        <v>8</v>
      </c>
      <c r="W8" s="50" t="s">
        <v>3</v>
      </c>
      <c r="X8" s="50" t="s">
        <v>4</v>
      </c>
      <c r="Y8" s="192" t="s">
        <v>101</v>
      </c>
      <c r="Z8" s="50" t="s">
        <v>0</v>
      </c>
      <c r="AA8" s="50" t="s">
        <v>6</v>
      </c>
      <c r="AB8" s="11"/>
      <c r="AC8" s="53" t="s">
        <v>9</v>
      </c>
      <c r="AD8" s="53" t="s">
        <v>275</v>
      </c>
    </row>
    <row r="9" spans="1:30" s="4" customFormat="1" ht="19.5" customHeight="1" x14ac:dyDescent="0.25">
      <c r="A9" s="26">
        <f>BEGINBLAD!D5</f>
        <v>0</v>
      </c>
      <c r="B9" s="51">
        <v>1</v>
      </c>
      <c r="C9" s="52" t="str">
        <f>BEGINBLAD!C5</f>
        <v>leerling 1</v>
      </c>
      <c r="D9" s="746">
        <v>1.1000000000000001</v>
      </c>
      <c r="E9" s="747">
        <v>2.9</v>
      </c>
      <c r="F9" s="747">
        <v>4.2</v>
      </c>
      <c r="G9" s="747">
        <v>1.3</v>
      </c>
      <c r="H9" s="747">
        <v>2.1</v>
      </c>
      <c r="I9" s="512">
        <f>SUM(C9:H9)</f>
        <v>11.6</v>
      </c>
      <c r="J9" s="450">
        <f t="shared" ref="J9:J44" si="2">COUNTA(D9:H9)</f>
        <v>5</v>
      </c>
      <c r="K9" s="12"/>
      <c r="L9" s="747">
        <f>IF(J9=0,"",IF(J9&gt;0,AVERAGE(D9:H9)))</f>
        <v>2.3199999999999998</v>
      </c>
      <c r="M9" s="54" t="str">
        <f>IF(L9="","",IF(L9&gt;4.5,"A-1+",IF(L9&gt;4.2,"A-1",IF(L9&gt;=4,"A-2",IF(L9&gt;3.3,"B-2",IF(L9&gt;=3,"B-3",IF(L9&gt;2.4,"C-3",IF(L9&gt;=2,"C-4",IF(L9&gt;1.5,"D-4",IF(L9&gt;=1,"D-5",IF(L9&gt;0.5,"E-5",IF(L9&gt;=0,"E-5-"))))))))))))</f>
        <v>C-4</v>
      </c>
      <c r="N9" s="602"/>
      <c r="O9" s="603" t="s">
        <v>402</v>
      </c>
      <c r="P9" s="603" t="s">
        <v>401</v>
      </c>
      <c r="Q9" s="603" t="s">
        <v>401</v>
      </c>
      <c r="R9" s="26">
        <f>BEGINBLAD!D5</f>
        <v>0</v>
      </c>
      <c r="S9" s="51">
        <v>1</v>
      </c>
      <c r="T9" s="52" t="str">
        <f>BEGINBLAD!C5</f>
        <v>leerling 1</v>
      </c>
      <c r="U9" s="443">
        <v>28</v>
      </c>
      <c r="V9" s="443">
        <v>49</v>
      </c>
      <c r="W9" s="443">
        <v>57</v>
      </c>
      <c r="X9" s="443">
        <v>47</v>
      </c>
      <c r="Y9" s="443">
        <v>37</v>
      </c>
      <c r="Z9" s="450">
        <f t="shared" ref="Z9:Z42" si="3">SUM(U9:Y9)</f>
        <v>218</v>
      </c>
      <c r="AA9" s="450">
        <f t="shared" ref="AA9:AA42" si="4">COUNTA(U9:Y9)</f>
        <v>5</v>
      </c>
      <c r="AB9" s="12"/>
      <c r="AC9" s="453">
        <f t="shared" ref="AC9:AC44" si="5">IF(AA9=0,"",IF(AA9&gt;0,Z9/AA9))</f>
        <v>43.6</v>
      </c>
      <c r="AD9" s="452">
        <f>IF(AA9=0,"",IF(AA9&gt;0,AC9/AB$2))</f>
        <v>0.88979591836734695</v>
      </c>
    </row>
    <row r="10" spans="1:30" ht="19.5" customHeight="1" x14ac:dyDescent="0.25">
      <c r="A10" s="27">
        <f>BEGINBLAD!D6</f>
        <v>0</v>
      </c>
      <c r="B10" s="51">
        <v>2</v>
      </c>
      <c r="C10" s="52" t="str">
        <f>BEGINBLAD!C6</f>
        <v>leerling 2</v>
      </c>
      <c r="D10" s="746">
        <v>3.2</v>
      </c>
      <c r="E10" s="747">
        <v>4.7</v>
      </c>
      <c r="F10" s="747">
        <v>2.5</v>
      </c>
      <c r="G10" s="747">
        <v>1.6</v>
      </c>
      <c r="H10" s="747">
        <v>2.2000000000000002</v>
      </c>
      <c r="I10" s="512">
        <f t="shared" ref="I10:I44" si="6">SUM(C10:H10)</f>
        <v>14.2</v>
      </c>
      <c r="J10" s="450">
        <f t="shared" si="2"/>
        <v>5</v>
      </c>
      <c r="K10" s="12"/>
      <c r="L10" s="747">
        <f t="shared" ref="L10:L44" si="7">IF(J10=0,"",IF(J10&gt;0,AVERAGE(D10:H10)))</f>
        <v>2.84</v>
      </c>
      <c r="M10" s="54" t="str">
        <f t="shared" ref="M10:M44" si="8">IF(L10="","",IF(L10&gt;4.5,"A-1+",IF(L10&gt;4.2,"A-1",IF(L10&gt;=4,"A-2",IF(L10&gt;3.3,"B-2",IF(L10&gt;=3,"B-3",IF(L10&gt;2.4,"C-3",IF(L10&gt;=2,"C-4",IF(L10&gt;1.5,"D-4",IF(L10&gt;=1,"D-5",IF(L10&gt;0.5,"E-5",IF(L10&gt;=0,"E-5-"))))))))))))</f>
        <v>C-3</v>
      </c>
      <c r="N10" s="602"/>
      <c r="O10" s="603" t="s">
        <v>401</v>
      </c>
      <c r="P10" s="603" t="s">
        <v>402</v>
      </c>
      <c r="Q10" s="603"/>
      <c r="R10" s="26">
        <f>BEGINBLAD!D6</f>
        <v>0</v>
      </c>
      <c r="S10" s="51">
        <v>2</v>
      </c>
      <c r="T10" s="52" t="str">
        <f>BEGINBLAD!C6</f>
        <v>leerling 2</v>
      </c>
      <c r="U10" s="443">
        <v>55</v>
      </c>
      <c r="V10" s="443">
        <v>60</v>
      </c>
      <c r="W10" s="443">
        <v>43</v>
      </c>
      <c r="X10" s="443">
        <v>44</v>
      </c>
      <c r="Y10" s="443">
        <v>39</v>
      </c>
      <c r="Z10" s="450">
        <f t="shared" si="3"/>
        <v>241</v>
      </c>
      <c r="AA10" s="450">
        <f t="shared" si="4"/>
        <v>5</v>
      </c>
      <c r="AB10" s="12"/>
      <c r="AC10" s="453">
        <f t="shared" si="5"/>
        <v>48.2</v>
      </c>
      <c r="AD10" s="452">
        <f t="shared" ref="AD10:AD44" si="9">IF(AA10=0,"",IF(AA10&gt;0,AC10/AB$2))</f>
        <v>0.98367346938775513</v>
      </c>
    </row>
    <row r="11" spans="1:30" s="4" customFormat="1" ht="19.5" customHeight="1" x14ac:dyDescent="0.25">
      <c r="A11" s="26">
        <f>BEGINBLAD!D7</f>
        <v>0</v>
      </c>
      <c r="B11" s="51">
        <v>3</v>
      </c>
      <c r="C11" s="52" t="str">
        <f>BEGINBLAD!C7</f>
        <v>leerling 3</v>
      </c>
      <c r="D11" s="746">
        <v>2.9</v>
      </c>
      <c r="E11" s="747">
        <v>4</v>
      </c>
      <c r="F11" s="747">
        <v>4.8</v>
      </c>
      <c r="G11" s="747">
        <v>4.0999999999999996</v>
      </c>
      <c r="H11" s="747">
        <v>4.3</v>
      </c>
      <c r="I11" s="512">
        <f t="shared" si="6"/>
        <v>20.099999999999998</v>
      </c>
      <c r="J11" s="450">
        <f t="shared" si="2"/>
        <v>5</v>
      </c>
      <c r="K11" s="12"/>
      <c r="L11" s="747">
        <f t="shared" si="7"/>
        <v>4.0199999999999996</v>
      </c>
      <c r="M11" s="54" t="str">
        <f t="shared" si="8"/>
        <v>A-2</v>
      </c>
      <c r="N11" s="602"/>
      <c r="O11" s="603" t="s">
        <v>402</v>
      </c>
      <c r="P11" s="603" t="s">
        <v>402</v>
      </c>
      <c r="Q11" s="603" t="s">
        <v>402</v>
      </c>
      <c r="R11" s="26">
        <f>BEGINBLAD!D7</f>
        <v>0</v>
      </c>
      <c r="S11" s="51">
        <v>3</v>
      </c>
      <c r="T11" s="52" t="str">
        <f>BEGINBLAD!C7</f>
        <v>leerling 3</v>
      </c>
      <c r="U11" s="443">
        <v>48</v>
      </c>
      <c r="V11" s="443">
        <v>60</v>
      </c>
      <c r="W11" s="443">
        <v>57</v>
      </c>
      <c r="X11" s="443">
        <v>60</v>
      </c>
      <c r="Y11" s="443">
        <v>64</v>
      </c>
      <c r="Z11" s="450">
        <f t="shared" si="3"/>
        <v>289</v>
      </c>
      <c r="AA11" s="450">
        <f t="shared" si="4"/>
        <v>5</v>
      </c>
      <c r="AB11" s="12"/>
      <c r="AC11" s="453">
        <f t="shared" si="5"/>
        <v>57.8</v>
      </c>
      <c r="AD11" s="452">
        <f t="shared" si="9"/>
        <v>1.1795918367346938</v>
      </c>
    </row>
    <row r="12" spans="1:30" ht="19.5" customHeight="1" x14ac:dyDescent="0.25">
      <c r="A12" s="27">
        <f>BEGINBLAD!D8</f>
        <v>0</v>
      </c>
      <c r="B12" s="51">
        <v>4</v>
      </c>
      <c r="C12" s="52" t="str">
        <f>BEGINBLAD!C8</f>
        <v>leerling 4</v>
      </c>
      <c r="D12" s="746">
        <v>4.3</v>
      </c>
      <c r="E12" s="747">
        <v>4.5</v>
      </c>
      <c r="F12" s="747">
        <v>4.8</v>
      </c>
      <c r="G12" s="747">
        <v>4.5999999999999996</v>
      </c>
      <c r="H12" s="747">
        <v>4.4000000000000004</v>
      </c>
      <c r="I12" s="512">
        <f t="shared" si="6"/>
        <v>22.6</v>
      </c>
      <c r="J12" s="450">
        <f t="shared" si="2"/>
        <v>5</v>
      </c>
      <c r="K12" s="12"/>
      <c r="L12" s="747">
        <f t="shared" si="7"/>
        <v>4.5200000000000005</v>
      </c>
      <c r="M12" s="54" t="str">
        <f t="shared" si="8"/>
        <v>A-1+</v>
      </c>
      <c r="N12" s="602"/>
      <c r="O12" s="603" t="s">
        <v>402</v>
      </c>
      <c r="P12" s="603" t="s">
        <v>402</v>
      </c>
      <c r="Q12" s="603" t="s">
        <v>402</v>
      </c>
      <c r="R12" s="26">
        <f>BEGINBLAD!D8</f>
        <v>0</v>
      </c>
      <c r="S12" s="51">
        <v>4</v>
      </c>
      <c r="T12" s="52" t="str">
        <f>BEGINBLAD!C8</f>
        <v>leerling 4</v>
      </c>
      <c r="U12" s="443">
        <v>55</v>
      </c>
      <c r="V12" s="443">
        <v>60</v>
      </c>
      <c r="W12" s="443">
        <v>57</v>
      </c>
      <c r="X12" s="443">
        <v>60</v>
      </c>
      <c r="Y12" s="443">
        <v>64</v>
      </c>
      <c r="Z12" s="450">
        <f t="shared" si="3"/>
        <v>296</v>
      </c>
      <c r="AA12" s="450">
        <f t="shared" si="4"/>
        <v>5</v>
      </c>
      <c r="AB12" s="12"/>
      <c r="AC12" s="453">
        <f t="shared" si="5"/>
        <v>59.2</v>
      </c>
      <c r="AD12" s="452">
        <f t="shared" si="9"/>
        <v>1.2081632653061225</v>
      </c>
    </row>
    <row r="13" spans="1:30" s="4" customFormat="1" ht="19.5" customHeight="1" x14ac:dyDescent="0.25">
      <c r="A13" s="26">
        <f>BEGINBLAD!D9</f>
        <v>0</v>
      </c>
      <c r="B13" s="51">
        <v>5</v>
      </c>
      <c r="C13" s="52" t="str">
        <f>BEGINBLAD!C9</f>
        <v>leerling 5</v>
      </c>
      <c r="D13" s="746">
        <v>3.3</v>
      </c>
      <c r="E13" s="747">
        <v>5</v>
      </c>
      <c r="F13" s="747">
        <v>4.5</v>
      </c>
      <c r="G13" s="747">
        <v>4.4000000000000004</v>
      </c>
      <c r="H13" s="747">
        <v>4.2</v>
      </c>
      <c r="I13" s="512">
        <f t="shared" si="6"/>
        <v>21.400000000000002</v>
      </c>
      <c r="J13" s="450">
        <f t="shared" si="2"/>
        <v>5</v>
      </c>
      <c r="K13" s="12"/>
      <c r="L13" s="747">
        <f t="shared" si="7"/>
        <v>4.28</v>
      </c>
      <c r="M13" s="54" t="str">
        <f t="shared" si="8"/>
        <v>A-1</v>
      </c>
      <c r="N13" s="602"/>
      <c r="O13" s="603" t="s">
        <v>402</v>
      </c>
      <c r="P13" s="603" t="s">
        <v>402</v>
      </c>
      <c r="Q13" s="603" t="s">
        <v>402</v>
      </c>
      <c r="R13" s="26">
        <f>BEGINBLAD!D9</f>
        <v>0</v>
      </c>
      <c r="S13" s="51">
        <v>5</v>
      </c>
      <c r="T13" s="52" t="str">
        <f>BEGINBLAD!C9</f>
        <v>leerling 5</v>
      </c>
      <c r="U13" s="443">
        <v>55</v>
      </c>
      <c r="V13" s="443">
        <v>60</v>
      </c>
      <c r="W13" s="443">
        <v>57</v>
      </c>
      <c r="X13" s="443">
        <v>60</v>
      </c>
      <c r="Y13" s="443">
        <v>64</v>
      </c>
      <c r="Z13" s="450">
        <f t="shared" si="3"/>
        <v>296</v>
      </c>
      <c r="AA13" s="450">
        <f t="shared" si="4"/>
        <v>5</v>
      </c>
      <c r="AB13" s="12"/>
      <c r="AC13" s="453">
        <f t="shared" si="5"/>
        <v>59.2</v>
      </c>
      <c r="AD13" s="452">
        <f t="shared" si="9"/>
        <v>1.2081632653061225</v>
      </c>
    </row>
    <row r="14" spans="1:30" ht="19.5" customHeight="1" x14ac:dyDescent="0.25">
      <c r="A14" s="27">
        <f>BEGINBLAD!D10</f>
        <v>0</v>
      </c>
      <c r="B14" s="51">
        <v>6</v>
      </c>
      <c r="C14" s="52" t="str">
        <f>BEGINBLAD!C10</f>
        <v>leerling 6</v>
      </c>
      <c r="D14" s="746">
        <v>2.4</v>
      </c>
      <c r="E14" s="747">
        <v>3.4</v>
      </c>
      <c r="F14" s="747">
        <v>1.2</v>
      </c>
      <c r="G14" s="747">
        <v>0.9</v>
      </c>
      <c r="H14" s="747">
        <v>2.8</v>
      </c>
      <c r="I14" s="512">
        <f t="shared" si="6"/>
        <v>10.7</v>
      </c>
      <c r="J14" s="450">
        <f t="shared" si="2"/>
        <v>5</v>
      </c>
      <c r="K14" s="12"/>
      <c r="L14" s="747">
        <f t="shared" si="7"/>
        <v>2.1399999999999997</v>
      </c>
      <c r="M14" s="54" t="str">
        <f t="shared" si="8"/>
        <v>C-4</v>
      </c>
      <c r="N14" s="602"/>
      <c r="O14" s="603"/>
      <c r="P14" s="603" t="s">
        <v>401</v>
      </c>
      <c r="Q14" s="603"/>
      <c r="R14" s="26">
        <f>BEGINBLAD!D10</f>
        <v>0</v>
      </c>
      <c r="S14" s="51">
        <v>6</v>
      </c>
      <c r="T14" s="52" t="str">
        <f>BEGINBLAD!C10</f>
        <v>leerling 6</v>
      </c>
      <c r="U14" s="443">
        <v>44</v>
      </c>
      <c r="V14" s="443">
        <v>54</v>
      </c>
      <c r="W14" s="443">
        <v>34</v>
      </c>
      <c r="X14" s="443">
        <v>34</v>
      </c>
      <c r="Y14" s="443">
        <v>48</v>
      </c>
      <c r="Z14" s="450">
        <f t="shared" si="3"/>
        <v>214</v>
      </c>
      <c r="AA14" s="450">
        <f t="shared" si="4"/>
        <v>5</v>
      </c>
      <c r="AB14" s="12"/>
      <c r="AC14" s="453">
        <f t="shared" si="5"/>
        <v>42.8</v>
      </c>
      <c r="AD14" s="452">
        <f t="shared" si="9"/>
        <v>0.87346938775510197</v>
      </c>
    </row>
    <row r="15" spans="1:30" s="4" customFormat="1" ht="19.5" customHeight="1" x14ac:dyDescent="0.25">
      <c r="A15" s="26">
        <f>BEGINBLAD!D11</f>
        <v>0</v>
      </c>
      <c r="B15" s="51">
        <v>7</v>
      </c>
      <c r="C15" s="52" t="str">
        <f>BEGINBLAD!C11</f>
        <v>leerling 7</v>
      </c>
      <c r="D15" s="746">
        <v>2.5</v>
      </c>
      <c r="E15" s="747">
        <v>4.2</v>
      </c>
      <c r="F15" s="747">
        <v>3.8</v>
      </c>
      <c r="G15" s="747">
        <v>2.2999999999999998</v>
      </c>
      <c r="H15" s="747">
        <v>3.8</v>
      </c>
      <c r="I15" s="512">
        <f t="shared" si="6"/>
        <v>16.600000000000001</v>
      </c>
      <c r="J15" s="450">
        <f t="shared" si="2"/>
        <v>5</v>
      </c>
      <c r="K15" s="12"/>
      <c r="L15" s="747">
        <f t="shared" si="7"/>
        <v>3.3200000000000003</v>
      </c>
      <c r="M15" s="54" t="str">
        <f t="shared" si="8"/>
        <v>B-2</v>
      </c>
      <c r="N15" s="602"/>
      <c r="O15" s="603" t="s">
        <v>401</v>
      </c>
      <c r="P15" s="603" t="s">
        <v>402</v>
      </c>
      <c r="Q15" s="603" t="s">
        <v>401</v>
      </c>
      <c r="R15" s="26">
        <f>BEGINBLAD!D11</f>
        <v>0</v>
      </c>
      <c r="S15" s="51">
        <v>7</v>
      </c>
      <c r="T15" s="52" t="str">
        <f>BEGINBLAD!C11</f>
        <v>leerling 7</v>
      </c>
      <c r="U15" s="443">
        <v>46</v>
      </c>
      <c r="V15" s="443">
        <v>60</v>
      </c>
      <c r="W15" s="443">
        <v>57</v>
      </c>
      <c r="X15" s="443">
        <v>49</v>
      </c>
      <c r="Y15" s="443">
        <v>60</v>
      </c>
      <c r="Z15" s="450">
        <f t="shared" si="3"/>
        <v>272</v>
      </c>
      <c r="AA15" s="450">
        <f t="shared" si="4"/>
        <v>5</v>
      </c>
      <c r="AB15" s="12"/>
      <c r="AC15" s="453">
        <f t="shared" si="5"/>
        <v>54.4</v>
      </c>
      <c r="AD15" s="452">
        <f t="shared" si="9"/>
        <v>1.1102040816326531</v>
      </c>
    </row>
    <row r="16" spans="1:30" ht="19.5" customHeight="1" x14ac:dyDescent="0.25">
      <c r="A16" s="27">
        <f>BEGINBLAD!D12</f>
        <v>0</v>
      </c>
      <c r="B16" s="51">
        <v>8</v>
      </c>
      <c r="C16" s="52" t="str">
        <f>BEGINBLAD!C12</f>
        <v>leerling 8</v>
      </c>
      <c r="D16" s="746">
        <v>4.3</v>
      </c>
      <c r="E16" s="747">
        <v>5</v>
      </c>
      <c r="F16" s="747">
        <v>3.4</v>
      </c>
      <c r="G16" s="747">
        <v>2.9</v>
      </c>
      <c r="H16" s="747">
        <v>4.0999999999999996</v>
      </c>
      <c r="I16" s="512">
        <f t="shared" si="6"/>
        <v>19.700000000000003</v>
      </c>
      <c r="J16" s="450">
        <f t="shared" si="2"/>
        <v>5</v>
      </c>
      <c r="K16" s="12"/>
      <c r="L16" s="747">
        <f t="shared" si="7"/>
        <v>3.9400000000000004</v>
      </c>
      <c r="M16" s="54" t="str">
        <f t="shared" si="8"/>
        <v>B-2</v>
      </c>
      <c r="N16" s="602"/>
      <c r="O16" s="603" t="s">
        <v>401</v>
      </c>
      <c r="P16" s="603" t="s">
        <v>402</v>
      </c>
      <c r="Q16" s="603" t="s">
        <v>401</v>
      </c>
      <c r="R16" s="26">
        <f>BEGINBLAD!D12</f>
        <v>0</v>
      </c>
      <c r="S16" s="51">
        <v>8</v>
      </c>
      <c r="T16" s="52" t="str">
        <f>BEGINBLAD!C12</f>
        <v>leerling 8</v>
      </c>
      <c r="U16" s="443">
        <v>55</v>
      </c>
      <c r="V16" s="443">
        <v>60</v>
      </c>
      <c r="W16" s="443">
        <v>56</v>
      </c>
      <c r="X16" s="443">
        <v>46</v>
      </c>
      <c r="Y16" s="443">
        <v>63</v>
      </c>
      <c r="Z16" s="450">
        <f t="shared" si="3"/>
        <v>280</v>
      </c>
      <c r="AA16" s="450">
        <f t="shared" si="4"/>
        <v>5</v>
      </c>
      <c r="AB16" s="12"/>
      <c r="AC16" s="453">
        <f t="shared" si="5"/>
        <v>56</v>
      </c>
      <c r="AD16" s="452">
        <f t="shared" si="9"/>
        <v>1.1428571428571428</v>
      </c>
    </row>
    <row r="17" spans="1:30" s="4" customFormat="1" ht="19.5" customHeight="1" x14ac:dyDescent="0.25">
      <c r="A17" s="26">
        <f>BEGINBLAD!D13</f>
        <v>0</v>
      </c>
      <c r="B17" s="51">
        <v>9</v>
      </c>
      <c r="C17" s="52" t="str">
        <f>BEGINBLAD!C13</f>
        <v>leerling 9</v>
      </c>
      <c r="D17" s="746">
        <v>1.9</v>
      </c>
      <c r="E17" s="747">
        <v>4</v>
      </c>
      <c r="F17" s="747">
        <v>2</v>
      </c>
      <c r="G17" s="747">
        <v>2.8</v>
      </c>
      <c r="H17" s="747">
        <v>4.0999999999999996</v>
      </c>
      <c r="I17" s="512">
        <f t="shared" si="6"/>
        <v>14.799999999999999</v>
      </c>
      <c r="J17" s="450">
        <f t="shared" si="2"/>
        <v>5</v>
      </c>
      <c r="K17" s="12"/>
      <c r="L17" s="747">
        <f t="shared" si="7"/>
        <v>2.96</v>
      </c>
      <c r="M17" s="54" t="str">
        <f t="shared" si="8"/>
        <v>C-3</v>
      </c>
      <c r="N17" s="602"/>
      <c r="O17" s="603" t="s">
        <v>401</v>
      </c>
      <c r="P17" s="603" t="s">
        <v>402</v>
      </c>
      <c r="Q17" s="603" t="s">
        <v>401</v>
      </c>
      <c r="R17" s="26">
        <f>BEGINBLAD!D13</f>
        <v>0</v>
      </c>
      <c r="S17" s="51">
        <v>9</v>
      </c>
      <c r="T17" s="52" t="str">
        <f>BEGINBLAD!C13</f>
        <v>leerling 9</v>
      </c>
      <c r="U17" s="443">
        <v>37</v>
      </c>
      <c r="V17" s="443">
        <v>60</v>
      </c>
      <c r="W17" s="443">
        <v>38</v>
      </c>
      <c r="X17" s="443">
        <v>48</v>
      </c>
      <c r="Y17" s="443">
        <v>64</v>
      </c>
      <c r="Z17" s="450">
        <f t="shared" si="3"/>
        <v>247</v>
      </c>
      <c r="AA17" s="450">
        <f t="shared" si="4"/>
        <v>5</v>
      </c>
      <c r="AB17" s="12"/>
      <c r="AC17" s="453">
        <f t="shared" si="5"/>
        <v>49.4</v>
      </c>
      <c r="AD17" s="452">
        <f t="shared" si="9"/>
        <v>1.0081632653061223</v>
      </c>
    </row>
    <row r="18" spans="1:30" ht="19.5" customHeight="1" x14ac:dyDescent="0.25">
      <c r="A18" s="27">
        <f>BEGINBLAD!D14</f>
        <v>0</v>
      </c>
      <c r="B18" s="51">
        <v>10</v>
      </c>
      <c r="C18" s="52" t="str">
        <f>BEGINBLAD!C14</f>
        <v>leerling 10</v>
      </c>
      <c r="D18" s="746">
        <v>4.0999999999999996</v>
      </c>
      <c r="E18" s="747">
        <v>4.8</v>
      </c>
      <c r="F18" s="747">
        <v>4.8</v>
      </c>
      <c r="G18" s="747">
        <v>3.2</v>
      </c>
      <c r="H18" s="747">
        <v>4.4000000000000004</v>
      </c>
      <c r="I18" s="512">
        <f t="shared" si="6"/>
        <v>21.299999999999997</v>
      </c>
      <c r="J18" s="450">
        <f t="shared" si="2"/>
        <v>5</v>
      </c>
      <c r="K18" s="12"/>
      <c r="L18" s="747">
        <f t="shared" si="7"/>
        <v>4.26</v>
      </c>
      <c r="M18" s="54" t="str">
        <f t="shared" si="8"/>
        <v>A-1</v>
      </c>
      <c r="N18" s="602"/>
      <c r="O18" s="603" t="s">
        <v>402</v>
      </c>
      <c r="P18" s="603" t="s">
        <v>402</v>
      </c>
      <c r="Q18" s="603" t="s">
        <v>401</v>
      </c>
      <c r="R18" s="26">
        <f>BEGINBLAD!D14</f>
        <v>0</v>
      </c>
      <c r="S18" s="51">
        <v>10</v>
      </c>
      <c r="T18" s="52" t="str">
        <f>BEGINBLAD!C14</f>
        <v>leerling 10</v>
      </c>
      <c r="U18" s="443">
        <v>55</v>
      </c>
      <c r="V18" s="443">
        <v>60</v>
      </c>
      <c r="W18" s="443">
        <v>57</v>
      </c>
      <c r="X18" s="443">
        <v>52</v>
      </c>
      <c r="Y18" s="443">
        <v>64</v>
      </c>
      <c r="Z18" s="450">
        <f t="shared" si="3"/>
        <v>288</v>
      </c>
      <c r="AA18" s="450">
        <f t="shared" si="4"/>
        <v>5</v>
      </c>
      <c r="AB18" s="12"/>
      <c r="AC18" s="453">
        <f t="shared" si="5"/>
        <v>57.6</v>
      </c>
      <c r="AD18" s="452">
        <f t="shared" si="9"/>
        <v>1.1755102040816328</v>
      </c>
    </row>
    <row r="19" spans="1:30" s="4" customFormat="1" ht="19.5" customHeight="1" x14ac:dyDescent="0.25">
      <c r="A19" s="26">
        <f>BEGINBLAD!D15</f>
        <v>0</v>
      </c>
      <c r="B19" s="51">
        <v>11</v>
      </c>
      <c r="C19" s="52" t="str">
        <f>BEGINBLAD!C15</f>
        <v>leerling 11</v>
      </c>
      <c r="D19" s="746">
        <v>3.6</v>
      </c>
      <c r="E19" s="747">
        <v>3.2</v>
      </c>
      <c r="F19" s="747">
        <v>3.8</v>
      </c>
      <c r="G19" s="747">
        <v>2.7</v>
      </c>
      <c r="H19" s="747">
        <v>3.5</v>
      </c>
      <c r="I19" s="512">
        <f t="shared" si="6"/>
        <v>16.8</v>
      </c>
      <c r="J19" s="450">
        <f t="shared" si="2"/>
        <v>5</v>
      </c>
      <c r="K19" s="12"/>
      <c r="L19" s="747">
        <f t="shared" si="7"/>
        <v>3.3600000000000003</v>
      </c>
      <c r="M19" s="54" t="str">
        <f t="shared" si="8"/>
        <v>B-2</v>
      </c>
      <c r="N19" s="602"/>
      <c r="O19" s="603" t="s">
        <v>401</v>
      </c>
      <c r="P19" s="603" t="s">
        <v>401</v>
      </c>
      <c r="Q19" s="603" t="s">
        <v>401</v>
      </c>
      <c r="R19" s="26">
        <f>BEGINBLAD!D15</f>
        <v>0</v>
      </c>
      <c r="S19" s="51">
        <v>11</v>
      </c>
      <c r="T19" s="52" t="str">
        <f>BEGINBLAD!C15</f>
        <v>leerling 11</v>
      </c>
      <c r="U19" s="443">
        <v>55</v>
      </c>
      <c r="V19" s="443">
        <v>50</v>
      </c>
      <c r="W19" s="443">
        <v>57</v>
      </c>
      <c r="X19" s="443">
        <v>50</v>
      </c>
      <c r="Y19" s="443">
        <v>55</v>
      </c>
      <c r="Z19" s="450">
        <f t="shared" si="3"/>
        <v>267</v>
      </c>
      <c r="AA19" s="450">
        <f t="shared" si="4"/>
        <v>5</v>
      </c>
      <c r="AB19" s="12"/>
      <c r="AC19" s="453">
        <f t="shared" si="5"/>
        <v>53.4</v>
      </c>
      <c r="AD19" s="452">
        <f t="shared" si="9"/>
        <v>1.0897959183673469</v>
      </c>
    </row>
    <row r="20" spans="1:30" ht="19.5" customHeight="1" x14ac:dyDescent="0.25">
      <c r="A20" s="27">
        <f>BEGINBLAD!D16</f>
        <v>0</v>
      </c>
      <c r="B20" s="51">
        <v>12</v>
      </c>
      <c r="C20" s="52" t="str">
        <f>BEGINBLAD!C16</f>
        <v>leerling 12</v>
      </c>
      <c r="D20" s="746">
        <v>2</v>
      </c>
      <c r="E20" s="747">
        <v>2.6</v>
      </c>
      <c r="F20" s="747">
        <v>2.2000000000000002</v>
      </c>
      <c r="G20" s="747">
        <v>1.6</v>
      </c>
      <c r="H20" s="747">
        <v>2.1</v>
      </c>
      <c r="I20" s="512">
        <f t="shared" si="6"/>
        <v>10.5</v>
      </c>
      <c r="J20" s="450">
        <f t="shared" si="2"/>
        <v>5</v>
      </c>
      <c r="K20" s="12"/>
      <c r="L20" s="747">
        <f t="shared" si="7"/>
        <v>2.1</v>
      </c>
      <c r="M20" s="54" t="str">
        <f t="shared" si="8"/>
        <v>C-4</v>
      </c>
      <c r="N20" s="602"/>
      <c r="O20" s="603" t="s">
        <v>401</v>
      </c>
      <c r="P20" s="603" t="s">
        <v>401</v>
      </c>
      <c r="Q20" s="603"/>
      <c r="R20" s="26">
        <f>BEGINBLAD!D16</f>
        <v>0</v>
      </c>
      <c r="S20" s="51">
        <v>12</v>
      </c>
      <c r="T20" s="52" t="str">
        <f>BEGINBLAD!C16</f>
        <v>leerling 12</v>
      </c>
      <c r="U20" s="443">
        <v>38</v>
      </c>
      <c r="V20" s="443">
        <v>47</v>
      </c>
      <c r="W20" s="443">
        <v>41</v>
      </c>
      <c r="X20" s="443">
        <v>44</v>
      </c>
      <c r="Y20" s="443">
        <v>37</v>
      </c>
      <c r="Z20" s="450">
        <f t="shared" si="3"/>
        <v>207</v>
      </c>
      <c r="AA20" s="450">
        <f t="shared" si="4"/>
        <v>5</v>
      </c>
      <c r="AB20" s="12"/>
      <c r="AC20" s="453">
        <f t="shared" si="5"/>
        <v>41.4</v>
      </c>
      <c r="AD20" s="452">
        <f t="shared" si="9"/>
        <v>0.84489795918367339</v>
      </c>
    </row>
    <row r="21" spans="1:30" s="4" customFormat="1" ht="19.5" customHeight="1" x14ac:dyDescent="0.25">
      <c r="A21" s="26">
        <f>BEGINBLAD!D17</f>
        <v>0</v>
      </c>
      <c r="B21" s="51">
        <v>13</v>
      </c>
      <c r="C21" s="52" t="str">
        <f>BEGINBLAD!C17</f>
        <v>leerling 13</v>
      </c>
      <c r="D21" s="746">
        <v>1.8</v>
      </c>
      <c r="E21" s="747">
        <v>3.4</v>
      </c>
      <c r="F21" s="747">
        <v>4.2</v>
      </c>
      <c r="G21" s="747">
        <v>2.8</v>
      </c>
      <c r="H21" s="747">
        <v>4.2</v>
      </c>
      <c r="I21" s="512">
        <f t="shared" si="6"/>
        <v>16.399999999999999</v>
      </c>
      <c r="J21" s="450">
        <f t="shared" si="2"/>
        <v>5</v>
      </c>
      <c r="K21" s="12"/>
      <c r="L21" s="747">
        <f t="shared" si="7"/>
        <v>3.28</v>
      </c>
      <c r="M21" s="54" t="str">
        <f t="shared" si="8"/>
        <v>B-3</v>
      </c>
      <c r="N21" s="602"/>
      <c r="O21" s="603" t="s">
        <v>402</v>
      </c>
      <c r="P21" s="603" t="s">
        <v>401</v>
      </c>
      <c r="Q21" s="603" t="s">
        <v>401</v>
      </c>
      <c r="R21" s="26">
        <f>BEGINBLAD!D17</f>
        <v>0</v>
      </c>
      <c r="S21" s="51">
        <v>13</v>
      </c>
      <c r="T21" s="52" t="str">
        <f>BEGINBLAD!C17</f>
        <v>leerling 13</v>
      </c>
      <c r="U21" s="443">
        <v>36</v>
      </c>
      <c r="V21" s="443">
        <v>54</v>
      </c>
      <c r="W21" s="443">
        <v>57</v>
      </c>
      <c r="X21" s="443">
        <v>52</v>
      </c>
      <c r="Y21" s="443">
        <v>64</v>
      </c>
      <c r="Z21" s="450">
        <f t="shared" si="3"/>
        <v>263</v>
      </c>
      <c r="AA21" s="450">
        <f t="shared" si="4"/>
        <v>5</v>
      </c>
      <c r="AB21" s="12"/>
      <c r="AC21" s="453">
        <f t="shared" si="5"/>
        <v>52.6</v>
      </c>
      <c r="AD21" s="452">
        <f t="shared" si="9"/>
        <v>1.073469387755102</v>
      </c>
    </row>
    <row r="22" spans="1:30" ht="19.5" customHeight="1" x14ac:dyDescent="0.25">
      <c r="A22" s="27">
        <f>BEGINBLAD!D18</f>
        <v>0</v>
      </c>
      <c r="B22" s="51">
        <v>14</v>
      </c>
      <c r="C22" s="52" t="str">
        <f>BEGINBLAD!C18</f>
        <v>leerling 14</v>
      </c>
      <c r="D22" s="746">
        <v>0.9</v>
      </c>
      <c r="E22" s="747">
        <v>4.7</v>
      </c>
      <c r="F22" s="747">
        <v>2.8</v>
      </c>
      <c r="G22" s="747">
        <v>1.7</v>
      </c>
      <c r="H22" s="747">
        <v>0.4</v>
      </c>
      <c r="I22" s="512">
        <f t="shared" si="6"/>
        <v>10.5</v>
      </c>
      <c r="J22" s="450">
        <f t="shared" si="2"/>
        <v>5</v>
      </c>
      <c r="K22" s="12"/>
      <c r="L22" s="747">
        <f t="shared" si="7"/>
        <v>2.1</v>
      </c>
      <c r="M22" s="54" t="str">
        <f t="shared" si="8"/>
        <v>C-4</v>
      </c>
      <c r="N22" s="602"/>
      <c r="O22" s="603" t="s">
        <v>401</v>
      </c>
      <c r="P22" s="603" t="s">
        <v>402</v>
      </c>
      <c r="Q22" s="603" t="s">
        <v>401</v>
      </c>
      <c r="R22" s="26">
        <f>BEGINBLAD!D18</f>
        <v>0</v>
      </c>
      <c r="S22" s="51">
        <v>14</v>
      </c>
      <c r="T22" s="52" t="str">
        <f>BEGINBLAD!C18</f>
        <v>leerling 14</v>
      </c>
      <c r="U22" s="443">
        <v>24</v>
      </c>
      <c r="V22" s="443">
        <v>60</v>
      </c>
      <c r="W22" s="443">
        <v>47</v>
      </c>
      <c r="X22" s="443">
        <v>49</v>
      </c>
      <c r="Y22" s="443">
        <v>17</v>
      </c>
      <c r="Z22" s="450">
        <f t="shared" si="3"/>
        <v>197</v>
      </c>
      <c r="AA22" s="450">
        <f t="shared" si="4"/>
        <v>5</v>
      </c>
      <c r="AB22" s="12"/>
      <c r="AC22" s="453">
        <f t="shared" si="5"/>
        <v>39.4</v>
      </c>
      <c r="AD22" s="452">
        <f t="shared" si="9"/>
        <v>0.80408163265306121</v>
      </c>
    </row>
    <row r="23" spans="1:30" s="4" customFormat="1" ht="19.5" customHeight="1" x14ac:dyDescent="0.25">
      <c r="A23" s="26">
        <f>BEGINBLAD!D19</f>
        <v>0</v>
      </c>
      <c r="B23" s="51">
        <v>15</v>
      </c>
      <c r="C23" s="52" t="str">
        <f>BEGINBLAD!C19</f>
        <v>leerling 15</v>
      </c>
      <c r="D23" s="746">
        <v>3.3</v>
      </c>
      <c r="E23" s="747">
        <v>4.5</v>
      </c>
      <c r="F23" s="747">
        <v>2.5</v>
      </c>
      <c r="G23" s="747">
        <v>4.8</v>
      </c>
      <c r="H23" s="747">
        <v>4.3</v>
      </c>
      <c r="I23" s="512">
        <f t="shared" si="6"/>
        <v>19.400000000000002</v>
      </c>
      <c r="J23" s="450">
        <f t="shared" si="2"/>
        <v>5</v>
      </c>
      <c r="K23" s="12"/>
      <c r="L23" s="747">
        <f t="shared" si="7"/>
        <v>3.8800000000000003</v>
      </c>
      <c r="M23" s="54" t="str">
        <f t="shared" si="8"/>
        <v>B-2</v>
      </c>
      <c r="N23" s="602"/>
      <c r="O23" s="603" t="s">
        <v>401</v>
      </c>
      <c r="P23" s="603" t="s">
        <v>402</v>
      </c>
      <c r="Q23" s="603" t="s">
        <v>402</v>
      </c>
      <c r="R23" s="26">
        <f>BEGINBLAD!D19</f>
        <v>0</v>
      </c>
      <c r="S23" s="51">
        <v>15</v>
      </c>
      <c r="T23" s="52" t="str">
        <f>BEGINBLAD!C19</f>
        <v>leerling 15</v>
      </c>
      <c r="U23" s="443">
        <v>55</v>
      </c>
      <c r="V23" s="443">
        <v>60</v>
      </c>
      <c r="W23" s="443">
        <v>43</v>
      </c>
      <c r="X23" s="443">
        <v>60</v>
      </c>
      <c r="Y23" s="443">
        <v>64</v>
      </c>
      <c r="Z23" s="450">
        <f t="shared" si="3"/>
        <v>282</v>
      </c>
      <c r="AA23" s="450">
        <f t="shared" si="4"/>
        <v>5</v>
      </c>
      <c r="AB23" s="12"/>
      <c r="AC23" s="453">
        <f t="shared" si="5"/>
        <v>56.4</v>
      </c>
      <c r="AD23" s="452">
        <f t="shared" si="9"/>
        <v>1.1510204081632653</v>
      </c>
    </row>
    <row r="24" spans="1:30" ht="19.5" customHeight="1" x14ac:dyDescent="0.25">
      <c r="A24" s="27">
        <f>BEGINBLAD!D20</f>
        <v>0</v>
      </c>
      <c r="B24" s="51">
        <v>16</v>
      </c>
      <c r="C24" s="52" t="str">
        <f>BEGINBLAD!C20</f>
        <v>leerling 16</v>
      </c>
      <c r="D24" s="746">
        <v>2.2000000000000002</v>
      </c>
      <c r="E24" s="747">
        <v>3.2</v>
      </c>
      <c r="F24" s="747">
        <v>4.2</v>
      </c>
      <c r="G24" s="747">
        <v>4.0999999999999996</v>
      </c>
      <c r="H24" s="747">
        <v>4.4000000000000004</v>
      </c>
      <c r="I24" s="512">
        <f t="shared" si="6"/>
        <v>18.100000000000001</v>
      </c>
      <c r="J24" s="450">
        <f t="shared" si="2"/>
        <v>5</v>
      </c>
      <c r="K24" s="12"/>
      <c r="L24" s="747">
        <f t="shared" si="7"/>
        <v>3.62</v>
      </c>
      <c r="M24" s="54" t="str">
        <f t="shared" si="8"/>
        <v>B-2</v>
      </c>
      <c r="N24" s="602"/>
      <c r="O24" s="603" t="s">
        <v>402</v>
      </c>
      <c r="P24" s="603" t="s">
        <v>401</v>
      </c>
      <c r="Q24" s="603" t="s">
        <v>402</v>
      </c>
      <c r="R24" s="26">
        <f>BEGINBLAD!D20</f>
        <v>0</v>
      </c>
      <c r="S24" s="51">
        <v>16</v>
      </c>
      <c r="T24" s="52" t="str">
        <f>BEGINBLAD!C20</f>
        <v>leerling 16</v>
      </c>
      <c r="U24" s="443">
        <v>41</v>
      </c>
      <c r="V24" s="443">
        <v>50</v>
      </c>
      <c r="W24" s="443">
        <v>57</v>
      </c>
      <c r="X24" s="443">
        <v>60</v>
      </c>
      <c r="Y24" s="443">
        <v>64</v>
      </c>
      <c r="Z24" s="450">
        <f t="shared" si="3"/>
        <v>272</v>
      </c>
      <c r="AA24" s="450">
        <f t="shared" si="4"/>
        <v>5</v>
      </c>
      <c r="AB24" s="12"/>
      <c r="AC24" s="453">
        <f t="shared" si="5"/>
        <v>54.4</v>
      </c>
      <c r="AD24" s="452">
        <f t="shared" si="9"/>
        <v>1.1102040816326531</v>
      </c>
    </row>
    <row r="25" spans="1:30" s="4" customFormat="1" ht="19.5" customHeight="1" x14ac:dyDescent="0.25">
      <c r="A25" s="26">
        <f>BEGINBLAD!D21</f>
        <v>0</v>
      </c>
      <c r="B25" s="51">
        <v>17</v>
      </c>
      <c r="C25" s="52" t="str">
        <f>BEGINBLAD!C21</f>
        <v>leerling 17</v>
      </c>
      <c r="D25" s="746">
        <v>4.3</v>
      </c>
      <c r="E25" s="747">
        <v>3.7</v>
      </c>
      <c r="F25" s="747">
        <v>3.8</v>
      </c>
      <c r="G25" s="747">
        <v>2.4</v>
      </c>
      <c r="H25" s="747">
        <v>3</v>
      </c>
      <c r="I25" s="512">
        <f t="shared" si="6"/>
        <v>17.200000000000003</v>
      </c>
      <c r="J25" s="450">
        <f t="shared" si="2"/>
        <v>5</v>
      </c>
      <c r="K25" s="12"/>
      <c r="L25" s="747">
        <f t="shared" si="7"/>
        <v>3.4400000000000004</v>
      </c>
      <c r="M25" s="54" t="str">
        <f t="shared" si="8"/>
        <v>B-2</v>
      </c>
      <c r="N25" s="602"/>
      <c r="O25" s="603" t="s">
        <v>401</v>
      </c>
      <c r="P25" s="603" t="s">
        <v>401</v>
      </c>
      <c r="Q25" s="603" t="s">
        <v>401</v>
      </c>
      <c r="R25" s="26">
        <f>BEGINBLAD!D21</f>
        <v>0</v>
      </c>
      <c r="S25" s="51">
        <v>17</v>
      </c>
      <c r="T25" s="52" t="str">
        <f>BEGINBLAD!C21</f>
        <v>leerling 17</v>
      </c>
      <c r="U25" s="443">
        <v>55</v>
      </c>
      <c r="V25" s="443">
        <v>57</v>
      </c>
      <c r="W25" s="443">
        <v>57</v>
      </c>
      <c r="X25" s="443">
        <v>50</v>
      </c>
      <c r="Y25" s="443">
        <v>50</v>
      </c>
      <c r="Z25" s="450">
        <f t="shared" si="3"/>
        <v>269</v>
      </c>
      <c r="AA25" s="450">
        <f t="shared" si="4"/>
        <v>5</v>
      </c>
      <c r="AB25" s="12"/>
      <c r="AC25" s="453">
        <f t="shared" si="5"/>
        <v>53.8</v>
      </c>
      <c r="AD25" s="452">
        <f t="shared" si="9"/>
        <v>1.0979591836734692</v>
      </c>
    </row>
    <row r="26" spans="1:30" ht="19.5" customHeight="1" x14ac:dyDescent="0.25">
      <c r="A26" s="27">
        <f>BEGINBLAD!D22</f>
        <v>0</v>
      </c>
      <c r="B26" s="51">
        <v>18</v>
      </c>
      <c r="C26" s="52" t="str">
        <f>BEGINBLAD!C22</f>
        <v>leerling 18</v>
      </c>
      <c r="D26" s="746">
        <v>2.6</v>
      </c>
      <c r="E26" s="747">
        <v>4</v>
      </c>
      <c r="F26" s="747">
        <v>3.4</v>
      </c>
      <c r="G26" s="747">
        <v>1.2</v>
      </c>
      <c r="H26" s="747">
        <v>3.3</v>
      </c>
      <c r="I26" s="512">
        <f t="shared" si="6"/>
        <v>14.5</v>
      </c>
      <c r="J26" s="450">
        <f t="shared" si="2"/>
        <v>5</v>
      </c>
      <c r="K26" s="12"/>
      <c r="L26" s="747">
        <f t="shared" si="7"/>
        <v>2.9</v>
      </c>
      <c r="M26" s="54" t="str">
        <f t="shared" si="8"/>
        <v>C-3</v>
      </c>
      <c r="N26" s="602"/>
      <c r="O26" s="603" t="s">
        <v>401</v>
      </c>
      <c r="P26" s="603" t="s">
        <v>402</v>
      </c>
      <c r="Q26" s="603" t="s">
        <v>401</v>
      </c>
      <c r="R26" s="26">
        <f>BEGINBLAD!D22</f>
        <v>0</v>
      </c>
      <c r="S26" s="51">
        <v>18</v>
      </c>
      <c r="T26" s="52" t="str">
        <f>BEGINBLAD!C22</f>
        <v>leerling 18</v>
      </c>
      <c r="U26" s="443">
        <v>46</v>
      </c>
      <c r="V26" s="443">
        <v>60</v>
      </c>
      <c r="W26" s="443">
        <v>56</v>
      </c>
      <c r="X26" s="443">
        <v>46</v>
      </c>
      <c r="Y26" s="443">
        <v>54</v>
      </c>
      <c r="Z26" s="450">
        <f t="shared" si="3"/>
        <v>262</v>
      </c>
      <c r="AA26" s="450">
        <f t="shared" si="4"/>
        <v>5</v>
      </c>
      <c r="AB26" s="12"/>
      <c r="AC26" s="453">
        <f t="shared" si="5"/>
        <v>52.4</v>
      </c>
      <c r="AD26" s="452">
        <f t="shared" si="9"/>
        <v>1.0693877551020408</v>
      </c>
    </row>
    <row r="27" spans="1:30" s="4" customFormat="1" ht="19.5" customHeight="1" x14ac:dyDescent="0.25">
      <c r="A27" s="26">
        <f>BEGINBLAD!D23</f>
        <v>0</v>
      </c>
      <c r="B27" s="51">
        <v>19</v>
      </c>
      <c r="C27" s="52" t="str">
        <f>BEGINBLAD!C23</f>
        <v>leerling 19</v>
      </c>
      <c r="D27" s="746">
        <v>2.2999999999999998</v>
      </c>
      <c r="E27" s="747">
        <v>1.7</v>
      </c>
      <c r="F27" s="747">
        <v>3.1</v>
      </c>
      <c r="G27" s="747">
        <v>1.9</v>
      </c>
      <c r="H27" s="747">
        <v>3.1</v>
      </c>
      <c r="I27" s="512">
        <f t="shared" si="6"/>
        <v>12.1</v>
      </c>
      <c r="J27" s="450">
        <f t="shared" si="2"/>
        <v>5</v>
      </c>
      <c r="K27" s="12"/>
      <c r="L27" s="747">
        <f t="shared" si="7"/>
        <v>2.42</v>
      </c>
      <c r="M27" s="54" t="str">
        <f t="shared" si="8"/>
        <v>C-3</v>
      </c>
      <c r="N27" s="602"/>
      <c r="O27" s="603" t="s">
        <v>401</v>
      </c>
      <c r="P27" s="603" t="s">
        <v>401</v>
      </c>
      <c r="Q27" s="603" t="s">
        <v>401</v>
      </c>
      <c r="R27" s="26">
        <f>BEGINBLAD!D23</f>
        <v>0</v>
      </c>
      <c r="S27" s="51">
        <v>19</v>
      </c>
      <c r="T27" s="52" t="str">
        <f>BEGINBLAD!C23</f>
        <v>leerling 19</v>
      </c>
      <c r="U27" s="443">
        <v>43</v>
      </c>
      <c r="V27" s="443">
        <v>39</v>
      </c>
      <c r="W27" s="443">
        <v>51</v>
      </c>
      <c r="X27" s="443">
        <v>51</v>
      </c>
      <c r="Y27" s="443">
        <v>51</v>
      </c>
      <c r="Z27" s="450">
        <f t="shared" si="3"/>
        <v>235</v>
      </c>
      <c r="AA27" s="450">
        <f t="shared" si="4"/>
        <v>5</v>
      </c>
      <c r="AB27" s="12"/>
      <c r="AC27" s="453">
        <f t="shared" si="5"/>
        <v>47</v>
      </c>
      <c r="AD27" s="452">
        <f t="shared" si="9"/>
        <v>0.95918367346938771</v>
      </c>
    </row>
    <row r="28" spans="1:30" ht="19.5" customHeight="1" x14ac:dyDescent="0.25">
      <c r="A28" s="27">
        <f>BEGINBLAD!D24</f>
        <v>0</v>
      </c>
      <c r="B28" s="51">
        <v>20</v>
      </c>
      <c r="C28" s="52" t="str">
        <f>BEGINBLAD!C24</f>
        <v>leerling 20</v>
      </c>
      <c r="D28" s="746">
        <v>1.2</v>
      </c>
      <c r="E28" s="747">
        <v>2.4</v>
      </c>
      <c r="F28" s="747">
        <v>1.7</v>
      </c>
      <c r="G28" s="747">
        <v>0.9</v>
      </c>
      <c r="H28" s="747">
        <v>3</v>
      </c>
      <c r="I28" s="512">
        <f t="shared" si="6"/>
        <v>9.1999999999999993</v>
      </c>
      <c r="J28" s="450">
        <f t="shared" si="2"/>
        <v>5</v>
      </c>
      <c r="K28" s="12"/>
      <c r="L28" s="747">
        <f t="shared" si="7"/>
        <v>1.8399999999999999</v>
      </c>
      <c r="M28" s="54" t="str">
        <f t="shared" si="8"/>
        <v>D-4</v>
      </c>
      <c r="N28" s="602"/>
      <c r="O28" s="603"/>
      <c r="P28" s="603" t="s">
        <v>401</v>
      </c>
      <c r="Q28" s="603"/>
      <c r="R28" s="26">
        <f>BEGINBLAD!D24</f>
        <v>0</v>
      </c>
      <c r="S28" s="51">
        <v>20</v>
      </c>
      <c r="T28" s="52" t="str">
        <f>BEGINBLAD!C24</f>
        <v>leerling 20</v>
      </c>
      <c r="U28" s="443">
        <v>29</v>
      </c>
      <c r="V28" s="443">
        <v>45</v>
      </c>
      <c r="W28" s="443">
        <v>36</v>
      </c>
      <c r="X28" s="443">
        <v>43</v>
      </c>
      <c r="Y28" s="443">
        <v>50</v>
      </c>
      <c r="Z28" s="450">
        <f t="shared" si="3"/>
        <v>203</v>
      </c>
      <c r="AA28" s="450">
        <f t="shared" si="4"/>
        <v>5</v>
      </c>
      <c r="AB28" s="12"/>
      <c r="AC28" s="453">
        <f t="shared" si="5"/>
        <v>40.6</v>
      </c>
      <c r="AD28" s="452">
        <f t="shared" si="9"/>
        <v>0.82857142857142863</v>
      </c>
    </row>
    <row r="29" spans="1:30" s="4" customFormat="1" ht="19.5" customHeight="1" x14ac:dyDescent="0.25">
      <c r="A29" s="26">
        <f>BEGINBLAD!D25</f>
        <v>0</v>
      </c>
      <c r="B29" s="51">
        <v>21</v>
      </c>
      <c r="C29" s="52" t="str">
        <f>BEGINBLAD!C25</f>
        <v>leerling 21</v>
      </c>
      <c r="D29" s="746">
        <v>2.8</v>
      </c>
      <c r="E29" s="747">
        <v>3.7</v>
      </c>
      <c r="F29" s="747">
        <v>3.1</v>
      </c>
      <c r="G29" s="747">
        <v>1.9</v>
      </c>
      <c r="H29" s="747">
        <v>2.2000000000000002</v>
      </c>
      <c r="I29" s="512">
        <f t="shared" si="6"/>
        <v>13.7</v>
      </c>
      <c r="J29" s="450">
        <f t="shared" si="2"/>
        <v>5</v>
      </c>
      <c r="K29" s="12"/>
      <c r="L29" s="747">
        <f t="shared" si="7"/>
        <v>2.7399999999999998</v>
      </c>
      <c r="M29" s="54" t="str">
        <f t="shared" si="8"/>
        <v>C-3</v>
      </c>
      <c r="N29" s="602"/>
      <c r="O29" s="603" t="s">
        <v>401</v>
      </c>
      <c r="P29" s="603" t="s">
        <v>401</v>
      </c>
      <c r="Q29" s="603" t="s">
        <v>401</v>
      </c>
      <c r="R29" s="26">
        <f>BEGINBLAD!D25</f>
        <v>0</v>
      </c>
      <c r="S29" s="51">
        <v>21</v>
      </c>
      <c r="T29" s="52" t="str">
        <f>BEGINBLAD!C25</f>
        <v>leerling 21</v>
      </c>
      <c r="U29" s="444">
        <v>48</v>
      </c>
      <c r="V29" s="443">
        <v>57</v>
      </c>
      <c r="W29" s="443">
        <v>51</v>
      </c>
      <c r="X29" s="443">
        <v>48</v>
      </c>
      <c r="Y29" s="443">
        <v>39</v>
      </c>
      <c r="Z29" s="450">
        <f t="shared" si="3"/>
        <v>243</v>
      </c>
      <c r="AA29" s="450">
        <f t="shared" si="4"/>
        <v>5</v>
      </c>
      <c r="AB29" s="12"/>
      <c r="AC29" s="453">
        <f t="shared" si="5"/>
        <v>48.6</v>
      </c>
      <c r="AD29" s="452">
        <f t="shared" si="9"/>
        <v>0.99183673469387756</v>
      </c>
    </row>
    <row r="30" spans="1:30" ht="19.5" customHeight="1" x14ac:dyDescent="0.25">
      <c r="A30" s="27">
        <f>BEGINBLAD!D26</f>
        <v>0</v>
      </c>
      <c r="B30" s="51">
        <v>22</v>
      </c>
      <c r="C30" s="52" t="str">
        <f>BEGINBLAD!C26</f>
        <v>leerling 22</v>
      </c>
      <c r="D30" s="746">
        <v>4.3</v>
      </c>
      <c r="E30" s="747">
        <v>5</v>
      </c>
      <c r="F30" s="747">
        <v>2.5</v>
      </c>
      <c r="G30" s="747">
        <v>4.0999999999999996</v>
      </c>
      <c r="H30" s="747">
        <v>4.5999999999999996</v>
      </c>
      <c r="I30" s="512">
        <f t="shared" si="6"/>
        <v>20.5</v>
      </c>
      <c r="J30" s="450">
        <f t="shared" si="2"/>
        <v>5</v>
      </c>
      <c r="K30" s="12"/>
      <c r="L30" s="747">
        <f t="shared" si="7"/>
        <v>4.0999999999999996</v>
      </c>
      <c r="M30" s="54" t="str">
        <f t="shared" si="8"/>
        <v>A-2</v>
      </c>
      <c r="N30" s="602"/>
      <c r="O30" s="603" t="s">
        <v>401</v>
      </c>
      <c r="P30" s="603" t="s">
        <v>402</v>
      </c>
      <c r="Q30" s="603" t="s">
        <v>401</v>
      </c>
      <c r="R30" s="26">
        <f>BEGINBLAD!D26</f>
        <v>0</v>
      </c>
      <c r="S30" s="51">
        <v>22</v>
      </c>
      <c r="T30" s="52" t="str">
        <f>BEGINBLAD!C26</f>
        <v>leerling 22</v>
      </c>
      <c r="U30" s="443">
        <v>55</v>
      </c>
      <c r="V30" s="443">
        <v>60</v>
      </c>
      <c r="W30" s="443">
        <v>43</v>
      </c>
      <c r="X30" s="443">
        <v>53</v>
      </c>
      <c r="Y30" s="443">
        <v>64</v>
      </c>
      <c r="Z30" s="450">
        <f t="shared" si="3"/>
        <v>275</v>
      </c>
      <c r="AA30" s="450">
        <f t="shared" si="4"/>
        <v>5</v>
      </c>
      <c r="AB30" s="12"/>
      <c r="AC30" s="453">
        <f t="shared" si="5"/>
        <v>55</v>
      </c>
      <c r="AD30" s="452">
        <f t="shared" si="9"/>
        <v>1.1224489795918366</v>
      </c>
    </row>
    <row r="31" spans="1:30" s="4" customFormat="1" ht="19.5" customHeight="1" x14ac:dyDescent="0.25">
      <c r="A31" s="26">
        <f>BEGINBLAD!D27</f>
        <v>0</v>
      </c>
      <c r="B31" s="51">
        <v>23</v>
      </c>
      <c r="C31" s="52" t="str">
        <f>BEGINBLAD!C27</f>
        <v>leerling 23</v>
      </c>
      <c r="D31" s="746">
        <v>4.8</v>
      </c>
      <c r="E31" s="747">
        <v>5</v>
      </c>
      <c r="F31" s="747">
        <v>3.1</v>
      </c>
      <c r="G31" s="747">
        <v>4.7</v>
      </c>
      <c r="H31" s="747">
        <v>4.9000000000000004</v>
      </c>
      <c r="I31" s="512">
        <f t="shared" si="6"/>
        <v>22.5</v>
      </c>
      <c r="J31" s="450">
        <f t="shared" si="2"/>
        <v>5</v>
      </c>
      <c r="K31" s="12"/>
      <c r="L31" s="747">
        <f t="shared" si="7"/>
        <v>4.5</v>
      </c>
      <c r="M31" s="54" t="str">
        <f t="shared" si="8"/>
        <v>A-1</v>
      </c>
      <c r="N31" s="602"/>
      <c r="O31" s="603" t="s">
        <v>401</v>
      </c>
      <c r="P31" s="603" t="s">
        <v>402</v>
      </c>
      <c r="Q31" s="603" t="s">
        <v>402</v>
      </c>
      <c r="R31" s="26">
        <f>BEGINBLAD!D27</f>
        <v>0</v>
      </c>
      <c r="S31" s="51">
        <v>23</v>
      </c>
      <c r="T31" s="52" t="str">
        <f>BEGINBLAD!C27</f>
        <v>leerling 23</v>
      </c>
      <c r="U31" s="443">
        <v>55</v>
      </c>
      <c r="V31" s="443">
        <v>60</v>
      </c>
      <c r="W31" s="443">
        <v>51</v>
      </c>
      <c r="X31" s="443">
        <v>60</v>
      </c>
      <c r="Y31" s="443">
        <v>64</v>
      </c>
      <c r="Z31" s="450">
        <f t="shared" si="3"/>
        <v>290</v>
      </c>
      <c r="AA31" s="450">
        <f t="shared" si="4"/>
        <v>5</v>
      </c>
      <c r="AB31" s="12"/>
      <c r="AC31" s="453">
        <f t="shared" si="5"/>
        <v>58</v>
      </c>
      <c r="AD31" s="452">
        <f t="shared" si="9"/>
        <v>1.1836734693877551</v>
      </c>
    </row>
    <row r="32" spans="1:30" ht="19.5" customHeight="1" x14ac:dyDescent="0.25">
      <c r="A32" s="27">
        <f>BEGINBLAD!D28</f>
        <v>0</v>
      </c>
      <c r="B32" s="51">
        <v>24</v>
      </c>
      <c r="C32" s="52" t="str">
        <f>BEGINBLAD!C28</f>
        <v>leerling 24</v>
      </c>
      <c r="D32" s="746">
        <v>1.7</v>
      </c>
      <c r="E32" s="747">
        <v>2.4</v>
      </c>
      <c r="F32" s="747">
        <v>0.1</v>
      </c>
      <c r="G32" s="747">
        <v>2.5</v>
      </c>
      <c r="H32" s="747">
        <v>3.2</v>
      </c>
      <c r="I32" s="512">
        <f t="shared" si="6"/>
        <v>9.8999999999999986</v>
      </c>
      <c r="J32" s="450">
        <f t="shared" si="2"/>
        <v>5</v>
      </c>
      <c r="K32" s="12"/>
      <c r="L32" s="747">
        <f t="shared" si="7"/>
        <v>1.9799999999999998</v>
      </c>
      <c r="M32" s="54" t="str">
        <f t="shared" si="8"/>
        <v>D-4</v>
      </c>
      <c r="N32" s="602"/>
      <c r="O32" s="603"/>
      <c r="P32" s="603" t="s">
        <v>401</v>
      </c>
      <c r="Q32" s="603"/>
      <c r="R32" s="26">
        <f>BEGINBLAD!D28</f>
        <v>0</v>
      </c>
      <c r="S32" s="51">
        <v>24</v>
      </c>
      <c r="T32" s="52" t="str">
        <f>BEGINBLAD!C28</f>
        <v>leerling 24</v>
      </c>
      <c r="U32" s="443">
        <v>35</v>
      </c>
      <c r="V32" s="443">
        <v>45</v>
      </c>
      <c r="W32" s="443">
        <v>19</v>
      </c>
      <c r="X32" s="443">
        <v>37</v>
      </c>
      <c r="Y32" s="443">
        <v>52</v>
      </c>
      <c r="Z32" s="450">
        <f t="shared" si="3"/>
        <v>188</v>
      </c>
      <c r="AA32" s="450">
        <f t="shared" si="4"/>
        <v>5</v>
      </c>
      <c r="AB32" s="12"/>
      <c r="AC32" s="453">
        <f t="shared" si="5"/>
        <v>37.6</v>
      </c>
      <c r="AD32" s="452">
        <f t="shared" si="9"/>
        <v>0.76734693877551019</v>
      </c>
    </row>
    <row r="33" spans="1:30" s="4" customFormat="1" ht="19.5" customHeight="1" x14ac:dyDescent="0.25">
      <c r="A33" s="26">
        <f>BEGINBLAD!D29</f>
        <v>0</v>
      </c>
      <c r="B33" s="51">
        <v>25</v>
      </c>
      <c r="C33" s="52" t="str">
        <f>BEGINBLAD!C29</f>
        <v>leerling 25</v>
      </c>
      <c r="D33" s="746">
        <v>1.9</v>
      </c>
      <c r="E33" s="747">
        <v>4</v>
      </c>
      <c r="F33" s="747">
        <v>4.5</v>
      </c>
      <c r="G33" s="747">
        <v>4.5</v>
      </c>
      <c r="H33" s="747">
        <v>4.0999999999999996</v>
      </c>
      <c r="I33" s="512">
        <f t="shared" si="6"/>
        <v>19</v>
      </c>
      <c r="J33" s="450">
        <f t="shared" si="2"/>
        <v>5</v>
      </c>
      <c r="K33" s="12"/>
      <c r="L33" s="747">
        <f t="shared" si="7"/>
        <v>3.8</v>
      </c>
      <c r="M33" s="54" t="str">
        <f t="shared" si="8"/>
        <v>B-2</v>
      </c>
      <c r="N33" s="602"/>
      <c r="O33" s="603" t="s">
        <v>402</v>
      </c>
      <c r="P33" s="603" t="s">
        <v>402</v>
      </c>
      <c r="Q33" s="603" t="s">
        <v>402</v>
      </c>
      <c r="R33" s="26">
        <f>BEGINBLAD!D29</f>
        <v>0</v>
      </c>
      <c r="S33" s="51">
        <v>25</v>
      </c>
      <c r="T33" s="52" t="str">
        <f>BEGINBLAD!C29</f>
        <v>leerling 25</v>
      </c>
      <c r="U33" s="443">
        <v>37</v>
      </c>
      <c r="V33" s="443">
        <v>60</v>
      </c>
      <c r="W33" s="443">
        <v>57</v>
      </c>
      <c r="X33" s="443">
        <v>60</v>
      </c>
      <c r="Y33" s="443">
        <v>63</v>
      </c>
      <c r="Z33" s="450">
        <f t="shared" si="3"/>
        <v>277</v>
      </c>
      <c r="AA33" s="450">
        <f t="shared" si="4"/>
        <v>5</v>
      </c>
      <c r="AB33" s="12"/>
      <c r="AC33" s="453">
        <f t="shared" si="5"/>
        <v>55.4</v>
      </c>
      <c r="AD33" s="452">
        <f t="shared" si="9"/>
        <v>1.1306122448979592</v>
      </c>
    </row>
    <row r="34" spans="1:30" ht="19.5" customHeight="1" x14ac:dyDescent="0.25">
      <c r="A34" s="27">
        <f>BEGINBLAD!D30</f>
        <v>0</v>
      </c>
      <c r="B34" s="51">
        <v>26</v>
      </c>
      <c r="C34" s="52" t="str">
        <f>BEGINBLAD!C30</f>
        <v>leerling 26</v>
      </c>
      <c r="D34" s="746">
        <v>1.8</v>
      </c>
      <c r="E34" s="746">
        <v>1.9</v>
      </c>
      <c r="F34" s="746">
        <v>0.9</v>
      </c>
      <c r="G34" s="746">
        <v>4</v>
      </c>
      <c r="H34" s="746"/>
      <c r="I34" s="512">
        <f t="shared" si="6"/>
        <v>8.6000000000000014</v>
      </c>
      <c r="J34" s="450">
        <f t="shared" si="2"/>
        <v>4</v>
      </c>
      <c r="K34" s="12"/>
      <c r="L34" s="747">
        <f t="shared" si="7"/>
        <v>2.1500000000000004</v>
      </c>
      <c r="M34" s="54" t="str">
        <f t="shared" si="8"/>
        <v>C-4</v>
      </c>
      <c r="N34" s="602"/>
      <c r="O34" s="603"/>
      <c r="P34" s="603"/>
      <c r="Q34" s="603" t="s">
        <v>402</v>
      </c>
      <c r="R34" s="26">
        <f>BEGINBLAD!D30</f>
        <v>0</v>
      </c>
      <c r="S34" s="51">
        <v>26</v>
      </c>
      <c r="T34" s="52" t="str">
        <f>BEGINBLAD!C30</f>
        <v>leerling 26</v>
      </c>
      <c r="U34" s="443">
        <v>34</v>
      </c>
      <c r="V34" s="443">
        <v>38</v>
      </c>
      <c r="W34" s="443">
        <v>24</v>
      </c>
      <c r="X34" s="443">
        <v>53</v>
      </c>
      <c r="Y34" s="443"/>
      <c r="Z34" s="450">
        <f t="shared" si="3"/>
        <v>149</v>
      </c>
      <c r="AA34" s="450">
        <f t="shared" si="4"/>
        <v>4</v>
      </c>
      <c r="AB34" s="12"/>
      <c r="AC34" s="453">
        <f t="shared" si="5"/>
        <v>37.25</v>
      </c>
      <c r="AD34" s="452">
        <f t="shared" si="9"/>
        <v>0.76020408163265307</v>
      </c>
    </row>
    <row r="35" spans="1:30" s="4" customFormat="1" ht="19.5" customHeight="1" x14ac:dyDescent="0.25">
      <c r="A35" s="26">
        <f>BEGINBLAD!D31</f>
        <v>0</v>
      </c>
      <c r="B35" s="51">
        <v>27</v>
      </c>
      <c r="C35" s="52">
        <f>BEGINBLAD!C31</f>
        <v>0</v>
      </c>
      <c r="D35" s="746"/>
      <c r="E35" s="746"/>
      <c r="F35" s="746"/>
      <c r="G35" s="746"/>
      <c r="H35" s="746"/>
      <c r="I35" s="512">
        <f t="shared" si="6"/>
        <v>0</v>
      </c>
      <c r="J35" s="450">
        <f t="shared" si="2"/>
        <v>0</v>
      </c>
      <c r="K35" s="12"/>
      <c r="L35" s="747" t="str">
        <f t="shared" si="7"/>
        <v/>
      </c>
      <c r="M35" s="54" t="str">
        <f t="shared" si="8"/>
        <v/>
      </c>
      <c r="N35" s="602"/>
      <c r="O35" s="603"/>
      <c r="P35" s="603"/>
      <c r="Q35" s="603"/>
      <c r="R35" s="26">
        <f>BEGINBLAD!D31</f>
        <v>0</v>
      </c>
      <c r="S35" s="51">
        <v>27</v>
      </c>
      <c r="T35" s="52">
        <f>BEGINBLAD!C31</f>
        <v>0</v>
      </c>
      <c r="U35" s="443"/>
      <c r="V35" s="443"/>
      <c r="W35" s="443"/>
      <c r="X35" s="443"/>
      <c r="Y35" s="443"/>
      <c r="Z35" s="450">
        <f t="shared" si="3"/>
        <v>0</v>
      </c>
      <c r="AA35" s="450">
        <f t="shared" si="4"/>
        <v>0</v>
      </c>
      <c r="AB35" s="12"/>
      <c r="AC35" s="453" t="str">
        <f t="shared" si="5"/>
        <v/>
      </c>
      <c r="AD35" s="452" t="str">
        <f t="shared" si="9"/>
        <v/>
      </c>
    </row>
    <row r="36" spans="1:30" ht="19.5" customHeight="1" x14ac:dyDescent="0.25">
      <c r="A36" s="27">
        <f>BEGINBLAD!D32</f>
        <v>0</v>
      </c>
      <c r="B36" s="51">
        <v>28</v>
      </c>
      <c r="C36" s="52">
        <f>BEGINBLAD!C32</f>
        <v>0</v>
      </c>
      <c r="D36" s="748"/>
      <c r="E36" s="746"/>
      <c r="F36" s="746"/>
      <c r="G36" s="746"/>
      <c r="H36" s="748"/>
      <c r="I36" s="512">
        <f t="shared" si="6"/>
        <v>0</v>
      </c>
      <c r="J36" s="450">
        <f t="shared" si="2"/>
        <v>0</v>
      </c>
      <c r="K36" s="12"/>
      <c r="L36" s="747" t="str">
        <f t="shared" si="7"/>
        <v/>
      </c>
      <c r="M36" s="54" t="str">
        <f t="shared" si="8"/>
        <v/>
      </c>
      <c r="N36" s="602"/>
      <c r="O36" s="603"/>
      <c r="P36" s="603"/>
      <c r="Q36" s="603"/>
      <c r="R36" s="26">
        <f>BEGINBLAD!D32</f>
        <v>0</v>
      </c>
      <c r="S36" s="51">
        <v>28</v>
      </c>
      <c r="T36" s="52">
        <f>BEGINBLAD!C32</f>
        <v>0</v>
      </c>
      <c r="U36" s="443"/>
      <c r="V36" s="443"/>
      <c r="W36" s="443"/>
      <c r="X36" s="443"/>
      <c r="Y36" s="443"/>
      <c r="Z36" s="450">
        <f t="shared" si="3"/>
        <v>0</v>
      </c>
      <c r="AA36" s="450">
        <f t="shared" si="4"/>
        <v>0</v>
      </c>
      <c r="AB36" s="12"/>
      <c r="AC36" s="453" t="str">
        <f t="shared" si="5"/>
        <v/>
      </c>
      <c r="AD36" s="452" t="str">
        <f t="shared" si="9"/>
        <v/>
      </c>
    </row>
    <row r="37" spans="1:30" s="4" customFormat="1" ht="19.5" customHeight="1" x14ac:dyDescent="0.25">
      <c r="A37" s="26">
        <f>BEGINBLAD!D33</f>
        <v>0</v>
      </c>
      <c r="B37" s="51">
        <v>29</v>
      </c>
      <c r="C37" s="52">
        <f>BEGINBLAD!C33</f>
        <v>0</v>
      </c>
      <c r="D37" s="748"/>
      <c r="E37" s="746"/>
      <c r="F37" s="746"/>
      <c r="G37" s="746"/>
      <c r="H37" s="748"/>
      <c r="I37" s="512">
        <f t="shared" si="6"/>
        <v>0</v>
      </c>
      <c r="J37" s="450">
        <f t="shared" si="2"/>
        <v>0</v>
      </c>
      <c r="K37" s="12"/>
      <c r="L37" s="747" t="str">
        <f t="shared" si="7"/>
        <v/>
      </c>
      <c r="M37" s="54" t="str">
        <f t="shared" si="8"/>
        <v/>
      </c>
      <c r="N37" s="602"/>
      <c r="O37" s="603"/>
      <c r="P37" s="603"/>
      <c r="Q37" s="603"/>
      <c r="R37" s="26">
        <f>BEGINBLAD!D33</f>
        <v>0</v>
      </c>
      <c r="S37" s="51">
        <v>29</v>
      </c>
      <c r="T37" s="52">
        <f>BEGINBLAD!C33</f>
        <v>0</v>
      </c>
      <c r="U37" s="443"/>
      <c r="V37" s="443"/>
      <c r="W37" s="443"/>
      <c r="X37" s="443"/>
      <c r="Y37" s="443"/>
      <c r="Z37" s="450">
        <f t="shared" si="3"/>
        <v>0</v>
      </c>
      <c r="AA37" s="450">
        <f t="shared" si="4"/>
        <v>0</v>
      </c>
      <c r="AB37" s="12"/>
      <c r="AC37" s="453" t="str">
        <f t="shared" si="5"/>
        <v/>
      </c>
      <c r="AD37" s="452" t="str">
        <f t="shared" si="9"/>
        <v/>
      </c>
    </row>
    <row r="38" spans="1:30" ht="19.5" customHeight="1" x14ac:dyDescent="0.25">
      <c r="A38" s="27">
        <f>BEGINBLAD!D34</f>
        <v>0</v>
      </c>
      <c r="B38" s="51">
        <v>30</v>
      </c>
      <c r="C38" s="52">
        <f>BEGINBLAD!C34</f>
        <v>0</v>
      </c>
      <c r="D38" s="749"/>
      <c r="E38" s="749"/>
      <c r="F38" s="749"/>
      <c r="G38" s="750"/>
      <c r="H38" s="750"/>
      <c r="I38" s="512">
        <f t="shared" si="6"/>
        <v>0</v>
      </c>
      <c r="J38" s="450">
        <f t="shared" si="2"/>
        <v>0</v>
      </c>
      <c r="K38" s="12"/>
      <c r="L38" s="747" t="str">
        <f t="shared" si="7"/>
        <v/>
      </c>
      <c r="M38" s="54" t="str">
        <f t="shared" si="8"/>
        <v/>
      </c>
      <c r="N38" s="602"/>
      <c r="O38" s="603"/>
      <c r="P38" s="603"/>
      <c r="Q38" s="603"/>
      <c r="R38" s="26">
        <f>BEGINBLAD!D34</f>
        <v>0</v>
      </c>
      <c r="S38" s="51">
        <v>30</v>
      </c>
      <c r="T38" s="52">
        <f>BEGINBLAD!C34</f>
        <v>0</v>
      </c>
      <c r="U38" s="445"/>
      <c r="V38" s="443"/>
      <c r="W38" s="443"/>
      <c r="X38" s="443"/>
      <c r="Y38" s="443"/>
      <c r="Z38" s="450">
        <f t="shared" si="3"/>
        <v>0</v>
      </c>
      <c r="AA38" s="450">
        <f t="shared" si="4"/>
        <v>0</v>
      </c>
      <c r="AB38" s="12"/>
      <c r="AC38" s="453" t="str">
        <f t="shared" si="5"/>
        <v/>
      </c>
      <c r="AD38" s="452" t="str">
        <f t="shared" si="9"/>
        <v/>
      </c>
    </row>
    <row r="39" spans="1:30" s="4" customFormat="1" ht="19.5" customHeight="1" x14ac:dyDescent="0.25">
      <c r="A39" s="26">
        <f>BEGINBLAD!D35</f>
        <v>0</v>
      </c>
      <c r="B39" s="51">
        <v>31</v>
      </c>
      <c r="C39" s="52">
        <f>BEGINBLAD!C35</f>
        <v>0</v>
      </c>
      <c r="D39" s="749"/>
      <c r="E39" s="749"/>
      <c r="F39" s="749"/>
      <c r="G39" s="749"/>
      <c r="H39" s="749"/>
      <c r="I39" s="512">
        <f t="shared" si="6"/>
        <v>0</v>
      </c>
      <c r="J39" s="450">
        <f t="shared" si="2"/>
        <v>0</v>
      </c>
      <c r="K39" s="12"/>
      <c r="L39" s="747" t="str">
        <f t="shared" si="7"/>
        <v/>
      </c>
      <c r="M39" s="54" t="str">
        <f t="shared" si="8"/>
        <v/>
      </c>
      <c r="N39" s="602"/>
      <c r="O39" s="603"/>
      <c r="P39" s="603"/>
      <c r="Q39" s="603"/>
      <c r="R39" s="26">
        <f>BEGINBLAD!D35</f>
        <v>0</v>
      </c>
      <c r="S39" s="51">
        <v>31</v>
      </c>
      <c r="T39" s="52">
        <f>BEGINBLAD!C35</f>
        <v>0</v>
      </c>
      <c r="U39" s="445"/>
      <c r="V39" s="443"/>
      <c r="W39" s="443"/>
      <c r="X39" s="443"/>
      <c r="Y39" s="443"/>
      <c r="Z39" s="450">
        <f t="shared" si="3"/>
        <v>0</v>
      </c>
      <c r="AA39" s="450">
        <f t="shared" si="4"/>
        <v>0</v>
      </c>
      <c r="AB39" s="12"/>
      <c r="AC39" s="453" t="str">
        <f t="shared" si="5"/>
        <v/>
      </c>
      <c r="AD39" s="452" t="str">
        <f t="shared" si="9"/>
        <v/>
      </c>
    </row>
    <row r="40" spans="1:30" ht="19.5" customHeight="1" x14ac:dyDescent="0.25">
      <c r="A40" s="27">
        <f>BEGINBLAD!D36</f>
        <v>0</v>
      </c>
      <c r="B40" s="51">
        <v>32</v>
      </c>
      <c r="C40" s="52">
        <f>BEGINBLAD!C36</f>
        <v>0</v>
      </c>
      <c r="D40" s="749"/>
      <c r="E40" s="749"/>
      <c r="F40" s="749"/>
      <c r="G40" s="749"/>
      <c r="H40" s="749"/>
      <c r="I40" s="512">
        <f t="shared" si="6"/>
        <v>0</v>
      </c>
      <c r="J40" s="450">
        <f t="shared" si="2"/>
        <v>0</v>
      </c>
      <c r="K40" s="12"/>
      <c r="L40" s="747" t="str">
        <f t="shared" si="7"/>
        <v/>
      </c>
      <c r="M40" s="54" t="str">
        <f t="shared" si="8"/>
        <v/>
      </c>
      <c r="N40" s="602"/>
      <c r="O40" s="603"/>
      <c r="P40" s="603"/>
      <c r="Q40" s="603"/>
      <c r="R40" s="26">
        <f>BEGINBLAD!D36</f>
        <v>0</v>
      </c>
      <c r="S40" s="51">
        <v>32</v>
      </c>
      <c r="T40" s="52">
        <f>BEGINBLAD!C36</f>
        <v>0</v>
      </c>
      <c r="U40" s="445"/>
      <c r="V40" s="443"/>
      <c r="W40" s="443"/>
      <c r="X40" s="443"/>
      <c r="Y40" s="443"/>
      <c r="Z40" s="450">
        <f t="shared" si="3"/>
        <v>0</v>
      </c>
      <c r="AA40" s="450">
        <f t="shared" si="4"/>
        <v>0</v>
      </c>
      <c r="AB40" s="12"/>
      <c r="AC40" s="453" t="str">
        <f t="shared" si="5"/>
        <v/>
      </c>
      <c r="AD40" s="452" t="str">
        <f t="shared" si="9"/>
        <v/>
      </c>
    </row>
    <row r="41" spans="1:30" s="4" customFormat="1" ht="19.5" customHeight="1" x14ac:dyDescent="0.25">
      <c r="A41" s="26">
        <f>BEGINBLAD!D37</f>
        <v>0</v>
      </c>
      <c r="B41" s="51">
        <v>33</v>
      </c>
      <c r="C41" s="52">
        <f>BEGINBLAD!C37</f>
        <v>0</v>
      </c>
      <c r="D41" s="749"/>
      <c r="E41" s="749"/>
      <c r="F41" s="749"/>
      <c r="G41" s="749"/>
      <c r="H41" s="749"/>
      <c r="I41" s="512">
        <f t="shared" si="6"/>
        <v>0</v>
      </c>
      <c r="J41" s="450">
        <f t="shared" si="2"/>
        <v>0</v>
      </c>
      <c r="K41" s="12"/>
      <c r="L41" s="747" t="str">
        <f t="shared" si="7"/>
        <v/>
      </c>
      <c r="M41" s="54" t="str">
        <f t="shared" si="8"/>
        <v/>
      </c>
      <c r="N41" s="602"/>
      <c r="O41" s="603"/>
      <c r="P41" s="603"/>
      <c r="Q41" s="603"/>
      <c r="R41" s="26">
        <f>BEGINBLAD!D37</f>
        <v>0</v>
      </c>
      <c r="S41" s="51">
        <v>33</v>
      </c>
      <c r="T41" s="52">
        <f>BEGINBLAD!C37</f>
        <v>0</v>
      </c>
      <c r="U41" s="445"/>
      <c r="V41" s="443"/>
      <c r="W41" s="443"/>
      <c r="X41" s="443"/>
      <c r="Y41" s="443"/>
      <c r="Z41" s="450">
        <f t="shared" si="3"/>
        <v>0</v>
      </c>
      <c r="AA41" s="450">
        <f t="shared" si="4"/>
        <v>0</v>
      </c>
      <c r="AB41" s="12"/>
      <c r="AC41" s="453" t="str">
        <f t="shared" si="5"/>
        <v/>
      </c>
      <c r="AD41" s="452" t="str">
        <f t="shared" si="9"/>
        <v/>
      </c>
    </row>
    <row r="42" spans="1:30" s="4" customFormat="1" ht="19.5" customHeight="1" x14ac:dyDescent="0.25">
      <c r="A42" s="26"/>
      <c r="B42" s="51">
        <v>34</v>
      </c>
      <c r="C42" s="52">
        <f>BEGINBLAD!C38</f>
        <v>0</v>
      </c>
      <c r="D42" s="749"/>
      <c r="E42" s="749"/>
      <c r="F42" s="749"/>
      <c r="G42" s="749"/>
      <c r="H42" s="749"/>
      <c r="I42" s="512">
        <f t="shared" si="6"/>
        <v>0</v>
      </c>
      <c r="J42" s="450">
        <f t="shared" si="2"/>
        <v>0</v>
      </c>
      <c r="K42" s="12"/>
      <c r="L42" s="747" t="str">
        <f t="shared" si="7"/>
        <v/>
      </c>
      <c r="M42" s="54" t="str">
        <f t="shared" si="8"/>
        <v/>
      </c>
      <c r="N42" s="602"/>
      <c r="O42" s="603"/>
      <c r="P42" s="603"/>
      <c r="Q42" s="603"/>
      <c r="R42" s="26">
        <f>BEGINBLAD!D38</f>
        <v>0</v>
      </c>
      <c r="S42" s="51">
        <v>34</v>
      </c>
      <c r="T42" s="52">
        <f>BEGINBLAD!C38</f>
        <v>0</v>
      </c>
      <c r="U42" s="445"/>
      <c r="V42" s="443"/>
      <c r="W42" s="443"/>
      <c r="X42" s="443"/>
      <c r="Y42" s="443"/>
      <c r="Z42" s="450">
        <f t="shared" si="3"/>
        <v>0</v>
      </c>
      <c r="AA42" s="450">
        <f t="shared" si="4"/>
        <v>0</v>
      </c>
      <c r="AB42" s="12"/>
      <c r="AC42" s="453" t="str">
        <f t="shared" si="5"/>
        <v/>
      </c>
      <c r="AD42" s="452" t="str">
        <f t="shared" si="9"/>
        <v/>
      </c>
    </row>
    <row r="43" spans="1:30" ht="19.5" customHeight="1" x14ac:dyDescent="0.25">
      <c r="A43" s="27">
        <f>BEGINBLAD!D38</f>
        <v>0</v>
      </c>
      <c r="B43" s="51">
        <v>35</v>
      </c>
      <c r="C43" s="52">
        <f>BEGINBLAD!C39</f>
        <v>0</v>
      </c>
      <c r="D43" s="749"/>
      <c r="E43" s="749"/>
      <c r="F43" s="749"/>
      <c r="G43" s="749"/>
      <c r="H43" s="749"/>
      <c r="I43" s="512">
        <f t="shared" si="6"/>
        <v>0</v>
      </c>
      <c r="J43" s="450">
        <f t="shared" si="2"/>
        <v>0</v>
      </c>
      <c r="K43" s="12"/>
      <c r="L43" s="747" t="str">
        <f t="shared" si="7"/>
        <v/>
      </c>
      <c r="M43" s="54" t="str">
        <f t="shared" si="8"/>
        <v/>
      </c>
      <c r="N43" s="602"/>
      <c r="O43" s="603"/>
      <c r="P43" s="603"/>
      <c r="Q43" s="603"/>
      <c r="R43" s="26">
        <f>BEGINBLAD!D39</f>
        <v>0</v>
      </c>
      <c r="S43" s="51">
        <v>35</v>
      </c>
      <c r="T43" s="52">
        <f>BEGINBLAD!C39</f>
        <v>0</v>
      </c>
      <c r="U43" s="445"/>
      <c r="V43" s="443"/>
      <c r="W43" s="443"/>
      <c r="X43" s="443"/>
      <c r="Y43" s="443"/>
      <c r="Z43" s="450">
        <f t="shared" ref="Z43:Z44" si="10">SUM(U43:Y43)</f>
        <v>0</v>
      </c>
      <c r="AA43" s="450">
        <f t="shared" ref="AA43:AA44" si="11">COUNTA(U43:Y43)</f>
        <v>0</v>
      </c>
      <c r="AB43" s="12"/>
      <c r="AC43" s="453" t="str">
        <f t="shared" si="5"/>
        <v/>
      </c>
      <c r="AD43" s="452" t="str">
        <f t="shared" si="9"/>
        <v/>
      </c>
    </row>
    <row r="44" spans="1:30" s="4" customFormat="1" ht="19.5" customHeight="1" x14ac:dyDescent="0.25">
      <c r="A44" s="26">
        <f>BEGINBLAD!D39</f>
        <v>0</v>
      </c>
      <c r="B44" s="51">
        <v>36</v>
      </c>
      <c r="C44" s="52">
        <f>BEGINBLAD!C40</f>
        <v>0</v>
      </c>
      <c r="D44" s="749"/>
      <c r="E44" s="749"/>
      <c r="F44" s="749"/>
      <c r="G44" s="749"/>
      <c r="H44" s="749"/>
      <c r="I44" s="512">
        <f t="shared" si="6"/>
        <v>0</v>
      </c>
      <c r="J44" s="450">
        <f t="shared" si="2"/>
        <v>0</v>
      </c>
      <c r="K44" s="12"/>
      <c r="L44" s="747" t="str">
        <f t="shared" si="7"/>
        <v/>
      </c>
      <c r="M44" s="54" t="str">
        <f t="shared" si="8"/>
        <v/>
      </c>
      <c r="N44" s="602"/>
      <c r="O44" s="603"/>
      <c r="P44" s="603"/>
      <c r="Q44" s="603"/>
      <c r="R44" s="26">
        <f>BEGINBLAD!D40</f>
        <v>0</v>
      </c>
      <c r="S44" s="51">
        <v>36</v>
      </c>
      <c r="T44" s="52">
        <f>BEGINBLAD!C40</f>
        <v>0</v>
      </c>
      <c r="U44" s="445"/>
      <c r="V44" s="443"/>
      <c r="W44" s="443"/>
      <c r="X44" s="443"/>
      <c r="Y44" s="443"/>
      <c r="Z44" s="450">
        <f t="shared" si="10"/>
        <v>0</v>
      </c>
      <c r="AA44" s="450">
        <f t="shared" si="11"/>
        <v>0</v>
      </c>
      <c r="AB44" s="12"/>
      <c r="AC44" s="453" t="str">
        <f t="shared" si="5"/>
        <v/>
      </c>
      <c r="AD44" s="452" t="str">
        <f t="shared" si="9"/>
        <v/>
      </c>
    </row>
    <row r="45" spans="1:30" ht="19.5" customHeight="1" x14ac:dyDescent="0.25">
      <c r="C45" s="13" t="s">
        <v>9</v>
      </c>
      <c r="D45" s="755">
        <f>AVERAGE(D9:D44)</f>
        <v>2.75</v>
      </c>
      <c r="E45" s="755">
        <f t="shared" ref="E45:M45" si="12">AVERAGE(E9:E44)</f>
        <v>3.7653846153846167</v>
      </c>
      <c r="F45" s="755">
        <f t="shared" si="12"/>
        <v>3.1499999999999995</v>
      </c>
      <c r="G45" s="755">
        <f t="shared" si="12"/>
        <v>2.8423076923076924</v>
      </c>
      <c r="H45" s="755">
        <f t="shared" si="12"/>
        <v>3.468</v>
      </c>
      <c r="I45" s="755">
        <f t="shared" si="12"/>
        <v>11.44166666666667</v>
      </c>
      <c r="J45" s="755">
        <f t="shared" si="12"/>
        <v>3.5833333333333335</v>
      </c>
      <c r="K45" s="756"/>
      <c r="L45" s="755">
        <f t="shared" si="12"/>
        <v>3.1850000000000001</v>
      </c>
      <c r="M45" s="755" t="e">
        <f t="shared" si="12"/>
        <v>#DIV/0!</v>
      </c>
      <c r="N45" s="604" t="s">
        <v>403</v>
      </c>
      <c r="O45" s="605">
        <f>O49/C47</f>
        <v>0.84615384615384615</v>
      </c>
      <c r="P45" s="605">
        <f>P49/C47</f>
        <v>0.96153846153846156</v>
      </c>
      <c r="Q45" s="605">
        <f>Q49/C47</f>
        <v>0.80769230769230771</v>
      </c>
      <c r="T45" s="13" t="s">
        <v>9</v>
      </c>
      <c r="U45" s="751">
        <f t="shared" ref="U45:AA45" si="13">AVERAGE(U9:U44)</f>
        <v>44.769230769230766</v>
      </c>
      <c r="V45" s="751">
        <f t="shared" si="13"/>
        <v>54.807692307692307</v>
      </c>
      <c r="W45" s="751">
        <f t="shared" si="13"/>
        <v>48.46153846153846</v>
      </c>
      <c r="X45" s="751">
        <f t="shared" si="13"/>
        <v>50.615384615384613</v>
      </c>
      <c r="Y45" s="751">
        <f t="shared" si="13"/>
        <v>54.2</v>
      </c>
      <c r="Z45" s="751">
        <f t="shared" si="13"/>
        <v>181.11111111111111</v>
      </c>
      <c r="AA45" s="751">
        <f t="shared" si="13"/>
        <v>3.5833333333333335</v>
      </c>
      <c r="AB45" s="752"/>
      <c r="AC45" s="751">
        <f>AVERAGE(AC9:AC44)</f>
        <v>50.440384615384609</v>
      </c>
      <c r="AD45" s="757"/>
    </row>
    <row r="46" spans="1:30" ht="19.5" customHeight="1" x14ac:dyDescent="0.25">
      <c r="C46" s="13" t="s">
        <v>10</v>
      </c>
      <c r="D46" s="753" t="str">
        <f>IF(D45="","",IF(D45&gt;4.5,"A-1+",IF(D45&gt;4,"A-1",IF(D45&gt;=4,"A-2",IF(D45&gt;3.4,"B-2",IF(D45&gt;=3,"B-3",IF(D45&gt;2.5,"C-3",IF(D45&gt;=2,"C-4",IF(D45&gt;1.6,"D-4",IF(D45&gt;=1,"D-5",IF(D45&gt;0.5,"E-5",IF(D45&gt;=0,"E-5-"))))))))))))</f>
        <v>C-3</v>
      </c>
      <c r="E46" s="753" t="str">
        <f t="shared" ref="E46:M46" si="14">IF(E45="","",IF(E45&gt;4.5,"A-1+",IF(E45&gt;4,"A-1",IF(E45&gt;=4,"A-2",IF(E45&gt;3.4,"B-2",IF(E45&gt;=3,"B-3",IF(E45&gt;2.5,"C-3",IF(E45&gt;=2,"C-4",IF(E45&gt;1.6,"D-4",IF(E45&gt;=1,"D-5",IF(E45&gt;0.5,"E-5",IF(E45&gt;=0,"E-5-"))))))))))))</f>
        <v>B-2</v>
      </c>
      <c r="F46" s="753" t="str">
        <f t="shared" si="14"/>
        <v>B-3</v>
      </c>
      <c r="G46" s="753" t="str">
        <f t="shared" si="14"/>
        <v>C-3</v>
      </c>
      <c r="H46" s="753" t="str">
        <f t="shared" si="14"/>
        <v>B-2</v>
      </c>
      <c r="I46" s="753" t="str">
        <f t="shared" si="14"/>
        <v>A-1+</v>
      </c>
      <c r="J46" s="753" t="str">
        <f t="shared" si="14"/>
        <v>B-2</v>
      </c>
      <c r="K46" s="754"/>
      <c r="L46" s="753" t="str">
        <f t="shared" si="14"/>
        <v>B-3</v>
      </c>
      <c r="M46" s="753" t="e">
        <f t="shared" si="14"/>
        <v>#DIV/0!</v>
      </c>
      <c r="N46" s="604" t="s">
        <v>404</v>
      </c>
      <c r="O46" s="605">
        <f>O48/C47</f>
        <v>0.30769230769230771</v>
      </c>
      <c r="P46" s="605">
        <f>P48/C47</f>
        <v>0.53846153846153844</v>
      </c>
      <c r="Q46" s="605">
        <f>Q48/C47</f>
        <v>0.30769230769230771</v>
      </c>
      <c r="T46" s="598"/>
      <c r="U46" s="14"/>
      <c r="V46" s="14"/>
      <c r="W46" s="14"/>
      <c r="X46" s="14"/>
      <c r="Y46" s="14"/>
      <c r="Z46" s="14"/>
      <c r="AA46" s="14"/>
      <c r="AB46" s="14"/>
      <c r="AC46" s="14"/>
    </row>
    <row r="47" spans="1:30" x14ac:dyDescent="0.25">
      <c r="C47" s="6">
        <f>BEGINBLAD!$D$41</f>
        <v>26</v>
      </c>
      <c r="D47" s="184"/>
      <c r="E47" s="184"/>
      <c r="F47" s="184"/>
      <c r="G47" s="184"/>
      <c r="H47" s="184"/>
      <c r="I47" s="184"/>
      <c r="J47" s="184"/>
      <c r="K47" s="184"/>
      <c r="L47" s="184"/>
      <c r="M47" s="184"/>
      <c r="N47" s="606" t="s">
        <v>401</v>
      </c>
      <c r="O47" s="606">
        <f>COUNTIF(O9:O44,"1F")</f>
        <v>14</v>
      </c>
      <c r="P47" s="606">
        <f t="shared" ref="P47:Q47" si="15">COUNTIF(P9:P44,"1F")</f>
        <v>11</v>
      </c>
      <c r="Q47" s="606">
        <f t="shared" si="15"/>
        <v>13</v>
      </c>
      <c r="T47" s="6">
        <f>BEGINBLAD!$D$41</f>
        <v>26</v>
      </c>
    </row>
    <row r="48" spans="1:30" x14ac:dyDescent="0.25">
      <c r="C48" s="758" t="s">
        <v>431</v>
      </c>
      <c r="D48" s="759">
        <f>LARGE(D9:D44,D50)</f>
        <v>3.6</v>
      </c>
      <c r="E48" s="759">
        <f t="shared" ref="E48:H48" si="16">LARGE(E9:E44,E50)</f>
        <v>4.7</v>
      </c>
      <c r="F48" s="759">
        <f t="shared" si="16"/>
        <v>4.2</v>
      </c>
      <c r="G48" s="759">
        <f t="shared" si="16"/>
        <v>4.0999999999999996</v>
      </c>
      <c r="H48" s="759">
        <f t="shared" si="16"/>
        <v>4.3</v>
      </c>
      <c r="I48" s="184"/>
      <c r="J48" s="184"/>
      <c r="K48" s="184"/>
      <c r="L48" s="184"/>
      <c r="M48" s="184"/>
      <c r="N48" s="606" t="s">
        <v>405</v>
      </c>
      <c r="O48" s="606">
        <f>COUNTIF(O9:O44,"2F/1S")</f>
        <v>8</v>
      </c>
      <c r="P48" s="606">
        <f t="shared" ref="P48:Q48" si="17">COUNTIF(P9:P44,"2F/1S")</f>
        <v>14</v>
      </c>
      <c r="Q48" s="606">
        <f t="shared" si="17"/>
        <v>8</v>
      </c>
      <c r="R48" s="763"/>
    </row>
    <row r="49" spans="3:18" x14ac:dyDescent="0.25">
      <c r="C49" s="758" t="s">
        <v>432</v>
      </c>
      <c r="D49" s="759">
        <f>SMALL(D9:D44,D50)</f>
        <v>1.8</v>
      </c>
      <c r="E49" s="759">
        <f t="shared" ref="E49:H49" si="18">SMALL(E9:E44,E50)</f>
        <v>2.9</v>
      </c>
      <c r="F49" s="759">
        <f t="shared" si="18"/>
        <v>2.2000000000000002</v>
      </c>
      <c r="G49" s="759">
        <f t="shared" si="18"/>
        <v>1.6</v>
      </c>
      <c r="H49" s="759">
        <f t="shared" si="18"/>
        <v>2.8</v>
      </c>
      <c r="I49" s="184"/>
      <c r="J49" s="184"/>
      <c r="K49" s="184"/>
      <c r="L49" s="184"/>
      <c r="M49" s="184"/>
      <c r="N49" s="675"/>
      <c r="O49" s="675">
        <f>SUM(O47:O48)</f>
        <v>22</v>
      </c>
      <c r="P49" s="675">
        <f t="shared" ref="P49:Q49" si="19">SUM(P47:P48)</f>
        <v>25</v>
      </c>
      <c r="Q49" s="675">
        <f t="shared" si="19"/>
        <v>21</v>
      </c>
      <c r="R49" s="763"/>
    </row>
    <row r="50" spans="3:18" x14ac:dyDescent="0.25">
      <c r="C50" s="760">
        <v>0.25</v>
      </c>
      <c r="D50" s="759">
        <f>D51*0.25</f>
        <v>6.5</v>
      </c>
      <c r="E50" s="759">
        <f t="shared" ref="E50:H50" si="20">E51*0.25</f>
        <v>6.5</v>
      </c>
      <c r="F50" s="759">
        <f t="shared" si="20"/>
        <v>6.5</v>
      </c>
      <c r="G50" s="759">
        <f t="shared" si="20"/>
        <v>6.5</v>
      </c>
      <c r="H50" s="759">
        <f t="shared" si="20"/>
        <v>6.25</v>
      </c>
      <c r="I50" s="184"/>
      <c r="J50" s="184"/>
      <c r="K50" s="184"/>
      <c r="L50" s="184"/>
      <c r="M50" s="184"/>
      <c r="N50" s="675"/>
      <c r="O50" s="675"/>
      <c r="P50" s="675"/>
      <c r="Q50" s="675"/>
      <c r="R50" s="763"/>
    </row>
    <row r="51" spans="3:18" x14ac:dyDescent="0.25">
      <c r="C51" s="760" t="s">
        <v>433</v>
      </c>
      <c r="D51" s="759">
        <f>COUNT(D9:D44)</f>
        <v>26</v>
      </c>
      <c r="E51" s="759">
        <f t="shared" ref="E51:H51" si="21">COUNT(E9:E44)</f>
        <v>26</v>
      </c>
      <c r="F51" s="759">
        <f t="shared" si="21"/>
        <v>26</v>
      </c>
      <c r="G51" s="759">
        <f t="shared" si="21"/>
        <v>26</v>
      </c>
      <c r="H51" s="759">
        <f t="shared" si="21"/>
        <v>25</v>
      </c>
      <c r="I51" s="184"/>
      <c r="J51" s="184"/>
      <c r="K51" s="184"/>
      <c r="L51" s="184"/>
      <c r="M51" s="184"/>
      <c r="N51" s="184"/>
      <c r="O51" s="184"/>
      <c r="P51" s="184"/>
      <c r="Q51" s="184"/>
      <c r="R51" s="763"/>
    </row>
    <row r="52" spans="3:18" x14ac:dyDescent="0.25">
      <c r="C52" s="761"/>
      <c r="D52" s="762"/>
      <c r="E52" s="762"/>
      <c r="F52" s="762"/>
      <c r="G52" s="762"/>
      <c r="H52" s="762"/>
      <c r="I52" s="184"/>
      <c r="J52" s="184"/>
      <c r="K52" s="184"/>
      <c r="L52" s="184"/>
      <c r="M52" s="184"/>
      <c r="N52" s="184"/>
      <c r="O52" s="184"/>
      <c r="P52" s="184"/>
      <c r="Q52" s="184"/>
      <c r="R52" s="763"/>
    </row>
    <row r="53" spans="3:18" x14ac:dyDescent="0.25">
      <c r="C53" s="676"/>
      <c r="D53" s="184"/>
      <c r="E53" s="184"/>
      <c r="F53" s="184"/>
      <c r="G53" s="184"/>
      <c r="H53" s="184"/>
      <c r="I53" s="184"/>
      <c r="J53" s="184"/>
      <c r="K53" s="184"/>
      <c r="L53" s="184"/>
      <c r="M53" s="184"/>
      <c r="N53" s="184"/>
      <c r="O53" s="184"/>
      <c r="P53" s="184"/>
      <c r="Q53" s="184"/>
      <c r="R53" s="763"/>
    </row>
    <row r="54" spans="3:18" x14ac:dyDescent="0.25">
      <c r="C54" s="676"/>
      <c r="D54" s="184"/>
      <c r="E54" s="184"/>
      <c r="F54" s="184"/>
      <c r="G54" s="184"/>
      <c r="H54" s="184"/>
      <c r="I54" s="184"/>
      <c r="J54" s="184"/>
      <c r="K54" s="184"/>
      <c r="L54" s="184"/>
      <c r="M54" s="184"/>
      <c r="N54" s="184"/>
      <c r="O54" s="184"/>
      <c r="P54" s="184"/>
      <c r="Q54" s="184"/>
    </row>
    <row r="55" spans="3:18" x14ac:dyDescent="0.25">
      <c r="C55" s="676"/>
      <c r="D55" s="184"/>
      <c r="E55" s="184"/>
      <c r="F55" s="184"/>
      <c r="G55" s="184"/>
      <c r="H55" s="184"/>
      <c r="I55" s="184"/>
      <c r="J55" s="184"/>
      <c r="K55" s="184"/>
      <c r="L55" s="184"/>
      <c r="M55" s="184"/>
      <c r="N55" s="184"/>
      <c r="O55" s="184"/>
      <c r="P55" s="184"/>
      <c r="Q55" s="184"/>
    </row>
    <row r="56" spans="3:18" x14ac:dyDescent="0.25">
      <c r="C56" s="676"/>
      <c r="D56" s="184"/>
      <c r="E56" s="184"/>
      <c r="F56" s="184"/>
      <c r="G56" s="184"/>
      <c r="H56" s="184"/>
      <c r="I56" s="184"/>
      <c r="J56" s="184"/>
      <c r="K56" s="184"/>
      <c r="L56" s="184"/>
      <c r="M56" s="184"/>
      <c r="N56" s="184"/>
      <c r="O56" s="184"/>
      <c r="P56" s="184"/>
      <c r="Q56" s="184"/>
    </row>
    <row r="57" spans="3:18" x14ac:dyDescent="0.25">
      <c r="C57" s="676"/>
      <c r="D57" s="184"/>
      <c r="E57" s="184"/>
      <c r="F57" s="184"/>
      <c r="G57" s="184"/>
      <c r="H57" s="184"/>
      <c r="I57" s="184"/>
      <c r="J57" s="184"/>
      <c r="K57" s="184"/>
      <c r="L57" s="184"/>
      <c r="M57" s="184"/>
      <c r="N57" s="184"/>
      <c r="O57" s="184"/>
      <c r="P57" s="184"/>
      <c r="Q57" s="184"/>
    </row>
    <row r="58" spans="3:18" x14ac:dyDescent="0.25">
      <c r="C58" s="676"/>
      <c r="D58" s="184"/>
      <c r="E58" s="184"/>
      <c r="F58" s="184"/>
      <c r="G58" s="184"/>
      <c r="H58" s="184"/>
      <c r="I58" s="184"/>
      <c r="J58" s="184"/>
      <c r="K58" s="184"/>
      <c r="L58" s="184"/>
      <c r="M58" s="184"/>
      <c r="N58" s="184"/>
      <c r="O58" s="184"/>
      <c r="P58" s="184"/>
      <c r="Q58" s="184"/>
    </row>
    <row r="59" spans="3:18" x14ac:dyDescent="0.25">
      <c r="C59" s="676"/>
      <c r="D59" s="184"/>
      <c r="E59" s="184"/>
      <c r="F59" s="184"/>
      <c r="G59" s="184"/>
      <c r="H59" s="184"/>
      <c r="I59" s="184"/>
      <c r="J59" s="184"/>
      <c r="K59" s="184"/>
      <c r="L59" s="184"/>
      <c r="M59" s="184"/>
      <c r="N59" s="184"/>
    </row>
    <row r="60" spans="3:18" x14ac:dyDescent="0.25">
      <c r="C60" s="676"/>
      <c r="D60" s="184"/>
      <c r="E60" s="184"/>
      <c r="F60" s="184"/>
      <c r="G60" s="184"/>
      <c r="H60" s="184"/>
      <c r="I60" s="184"/>
      <c r="J60" s="184"/>
      <c r="K60" s="184"/>
      <c r="L60" s="184"/>
      <c r="M60" s="184"/>
      <c r="N60" s="184"/>
    </row>
    <row r="61" spans="3:18" x14ac:dyDescent="0.25">
      <c r="C61" s="676"/>
      <c r="D61" s="184"/>
      <c r="E61" s="184"/>
      <c r="F61" s="184"/>
      <c r="G61" s="184"/>
      <c r="H61" s="184"/>
      <c r="I61" s="184"/>
      <c r="J61" s="184"/>
      <c r="K61" s="184"/>
      <c r="L61" s="184"/>
      <c r="M61" s="184"/>
      <c r="N61" s="184"/>
    </row>
    <row r="62" spans="3:18" x14ac:dyDescent="0.25">
      <c r="C62" s="676"/>
      <c r="D62" s="184"/>
      <c r="E62" s="184"/>
      <c r="F62" s="184"/>
      <c r="G62" s="184"/>
      <c r="H62" s="184"/>
      <c r="I62" s="184"/>
      <c r="J62" s="184"/>
      <c r="K62" s="184"/>
      <c r="L62" s="184"/>
      <c r="M62" s="184"/>
      <c r="N62" s="184"/>
    </row>
    <row r="63" spans="3:18" x14ac:dyDescent="0.25">
      <c r="C63" s="676"/>
      <c r="D63" s="184"/>
      <c r="E63" s="184"/>
      <c r="F63" s="184"/>
      <c r="G63" s="184"/>
      <c r="H63" s="184"/>
      <c r="I63" s="184"/>
      <c r="J63" s="184"/>
      <c r="K63" s="184"/>
      <c r="L63" s="184"/>
      <c r="M63" s="184"/>
      <c r="N63" s="184"/>
    </row>
    <row r="64" spans="3:18" x14ac:dyDescent="0.25">
      <c r="C64" s="676"/>
      <c r="D64" s="184"/>
      <c r="E64" s="184"/>
      <c r="F64" s="184"/>
      <c r="G64" s="184"/>
      <c r="H64" s="184"/>
      <c r="I64" s="184"/>
      <c r="J64" s="184"/>
      <c r="K64" s="184"/>
      <c r="L64" s="184"/>
      <c r="M64" s="184"/>
      <c r="N64" s="184"/>
    </row>
    <row r="65" spans="3:14" x14ac:dyDescent="0.25">
      <c r="C65" s="676"/>
      <c r="D65" s="184"/>
      <c r="E65" s="184"/>
      <c r="F65" s="184"/>
      <c r="G65" s="184"/>
      <c r="H65" s="184"/>
      <c r="I65" s="184"/>
      <c r="J65" s="184"/>
      <c r="K65" s="184"/>
      <c r="L65" s="184"/>
      <c r="M65" s="184"/>
      <c r="N65" s="184"/>
    </row>
    <row r="66" spans="3:14" x14ac:dyDescent="0.25">
      <c r="C66" s="676"/>
      <c r="D66" s="184"/>
      <c r="E66" s="184"/>
      <c r="F66" s="184"/>
      <c r="G66" s="184"/>
      <c r="H66" s="184"/>
      <c r="I66" s="184"/>
      <c r="J66" s="184"/>
      <c r="K66" s="184"/>
      <c r="L66" s="184"/>
      <c r="M66" s="184"/>
      <c r="N66" s="184"/>
    </row>
    <row r="67" spans="3:14" x14ac:dyDescent="0.25">
      <c r="C67" s="676"/>
      <c r="D67" s="184"/>
      <c r="E67" s="184"/>
      <c r="F67" s="184"/>
      <c r="G67" s="184"/>
      <c r="H67" s="184"/>
      <c r="I67" s="184"/>
      <c r="J67" s="184"/>
      <c r="K67" s="184"/>
      <c r="L67" s="184"/>
      <c r="M67" s="184"/>
      <c r="N67" s="184"/>
    </row>
    <row r="68" spans="3:14" x14ac:dyDescent="0.25">
      <c r="C68" s="676"/>
      <c r="D68" s="184"/>
      <c r="E68" s="184"/>
      <c r="F68" s="184"/>
      <c r="G68" s="184"/>
      <c r="H68" s="184"/>
      <c r="I68" s="184"/>
      <c r="J68" s="184"/>
      <c r="K68" s="184"/>
      <c r="L68" s="184"/>
      <c r="M68" s="184"/>
      <c r="N68" s="184"/>
    </row>
    <row r="69" spans="3:14" x14ac:dyDescent="0.25">
      <c r="C69" s="676"/>
      <c r="D69" s="184"/>
      <c r="E69" s="184"/>
      <c r="F69" s="184"/>
      <c r="G69" s="184"/>
      <c r="H69" s="184"/>
      <c r="I69" s="184"/>
      <c r="J69" s="184"/>
      <c r="K69" s="184"/>
      <c r="L69" s="184"/>
      <c r="M69" s="184"/>
      <c r="N69" s="184"/>
    </row>
    <row r="70" spans="3:14" x14ac:dyDescent="0.25">
      <c r="C70" s="676"/>
      <c r="D70" s="184"/>
      <c r="E70" s="184"/>
      <c r="F70" s="184"/>
      <c r="G70" s="184"/>
      <c r="H70" s="184"/>
      <c r="I70" s="184"/>
      <c r="J70" s="184"/>
      <c r="K70" s="184"/>
      <c r="L70" s="184"/>
      <c r="M70" s="184"/>
      <c r="N70" s="184"/>
    </row>
    <row r="71" spans="3:14" x14ac:dyDescent="0.25">
      <c r="C71" s="676"/>
      <c r="D71" s="184"/>
      <c r="E71" s="184"/>
      <c r="F71" s="184"/>
      <c r="G71" s="184"/>
      <c r="H71" s="184"/>
      <c r="I71" s="184"/>
      <c r="J71" s="184"/>
      <c r="K71" s="184"/>
      <c r="L71" s="184"/>
      <c r="M71" s="184"/>
      <c r="N71" s="184"/>
    </row>
    <row r="72" spans="3:14" x14ac:dyDescent="0.25">
      <c r="C72" s="676"/>
      <c r="D72" s="184"/>
      <c r="E72" s="184"/>
      <c r="F72" s="184"/>
      <c r="G72" s="184"/>
      <c r="H72" s="184"/>
      <c r="I72" s="184"/>
      <c r="J72" s="184"/>
      <c r="K72" s="184"/>
      <c r="L72" s="184"/>
      <c r="M72" s="184"/>
      <c r="N72" s="184"/>
    </row>
    <row r="73" spans="3:14" x14ac:dyDescent="0.25">
      <c r="C73" s="676"/>
      <c r="D73" s="184"/>
      <c r="E73" s="184"/>
      <c r="F73" s="184"/>
      <c r="G73" s="184"/>
      <c r="H73" s="184"/>
      <c r="I73" s="184"/>
      <c r="J73" s="184"/>
      <c r="K73" s="184"/>
      <c r="L73" s="184"/>
      <c r="M73" s="184"/>
      <c r="N73" s="184"/>
    </row>
  </sheetData>
  <sheetProtection sheet="1" objects="1" scenarios="1"/>
  <mergeCells count="2">
    <mergeCell ref="D2:H2"/>
    <mergeCell ref="O2:Q6"/>
  </mergeCells>
  <phoneticPr fontId="18" type="noConversion"/>
  <conditionalFormatting sqref="C9:C44">
    <cfRule type="expression" dxfId="1770" priority="3324" stopIfTrue="1">
      <formula>$M9=""</formula>
    </cfRule>
    <cfRule type="expression" dxfId="1769" priority="3325" stopIfTrue="1">
      <formula>$M9="A+"</formula>
    </cfRule>
  </conditionalFormatting>
  <conditionalFormatting sqref="A8:A44">
    <cfRule type="cellIs" dxfId="1768" priority="3284" operator="greaterThan">
      <formula>0</formula>
    </cfRule>
  </conditionalFormatting>
  <conditionalFormatting sqref="M9:M44">
    <cfRule type="cellIs" dxfId="1767" priority="2702" stopIfTrue="1" operator="between">
      <formula>"D-3"</formula>
      <formula>"E-5"</formula>
    </cfRule>
    <cfRule type="cellIs" dxfId="1766" priority="2703" stopIfTrue="1" operator="between">
      <formula>"B-2"</formula>
      <formula>"B-3"</formula>
    </cfRule>
    <cfRule type="cellIs" dxfId="1765" priority="2704" stopIfTrue="1" operator="between">
      <formula>"A-1"</formula>
      <formula>"A-2"</formula>
    </cfRule>
  </conditionalFormatting>
  <conditionalFormatting sqref="M9:M44">
    <cfRule type="cellIs" dxfId="1764" priority="2700" operator="equal">
      <formula>"E-5-"</formula>
    </cfRule>
    <cfRule type="cellIs" dxfId="1763" priority="2701" operator="equal">
      <formula>"A-1+"</formula>
    </cfRule>
  </conditionalFormatting>
  <conditionalFormatting sqref="T9:T44">
    <cfRule type="expression" dxfId="1762" priority="1850" stopIfTrue="1">
      <formula>$M9=""</formula>
    </cfRule>
    <cfRule type="expression" dxfId="1761" priority="1851" stopIfTrue="1">
      <formula>$M9="A+"</formula>
    </cfRule>
  </conditionalFormatting>
  <conditionalFormatting sqref="R8:R44">
    <cfRule type="cellIs" dxfId="1760" priority="1849" operator="greaterThan">
      <formula>0</formula>
    </cfRule>
  </conditionalFormatting>
  <conditionalFormatting sqref="AC9:AC44">
    <cfRule type="cellIs" dxfId="1759" priority="1845" stopIfTrue="1" operator="between">
      <formula>0.001</formula>
      <formula>1.999</formula>
    </cfRule>
    <cfRule type="cellIs" dxfId="1758" priority="1846" stopIfTrue="1" operator="between">
      <formula>3</formula>
      <formula>3.999</formula>
    </cfRule>
    <cfRule type="cellIs" dxfId="1757" priority="1847" stopIfTrue="1" operator="between">
      <formula>4</formula>
      <formula>5</formula>
    </cfRule>
  </conditionalFormatting>
  <conditionalFormatting sqref="U9:U44">
    <cfRule type="expression" dxfId="1756" priority="1423">
      <formula>$U9=""</formula>
    </cfRule>
    <cfRule type="expression" dxfId="1755" priority="1424">
      <formula>$U9&lt;=$U$4</formula>
    </cfRule>
    <cfRule type="expression" dxfId="1754" priority="1425">
      <formula>$U9&gt;=$U$3</formula>
    </cfRule>
  </conditionalFormatting>
  <conditionalFormatting sqref="V9:V44">
    <cfRule type="expression" dxfId="1753" priority="1420">
      <formula>$V9=""</formula>
    </cfRule>
    <cfRule type="expression" dxfId="1752" priority="1421">
      <formula>$V9&lt;=$V$4</formula>
    </cfRule>
    <cfRule type="expression" dxfId="1751" priority="1422">
      <formula>$V9&gt;=$V$3</formula>
    </cfRule>
  </conditionalFormatting>
  <conditionalFormatting sqref="W9:W44">
    <cfRule type="expression" dxfId="1750" priority="1417">
      <formula>$W9=""</formula>
    </cfRule>
    <cfRule type="expression" dxfId="1749" priority="1418">
      <formula>$W9&lt;=$W$4</formula>
    </cfRule>
    <cfRule type="expression" dxfId="1748" priority="1419">
      <formula>$W9&gt;=$W$3</formula>
    </cfRule>
  </conditionalFormatting>
  <conditionalFormatting sqref="X9:X44">
    <cfRule type="expression" dxfId="1747" priority="1414">
      <formula>$X9=""</formula>
    </cfRule>
    <cfRule type="expression" dxfId="1746" priority="1415">
      <formula>$X9&lt;=$X$4</formula>
    </cfRule>
    <cfRule type="expression" dxfId="1745" priority="1416">
      <formula>$X9&gt;=$X$3</formula>
    </cfRule>
  </conditionalFormatting>
  <conditionalFormatting sqref="Y9:Y44">
    <cfRule type="expression" dxfId="1744" priority="1411">
      <formula>$Y9=""</formula>
    </cfRule>
    <cfRule type="expression" dxfId="1743" priority="1412">
      <formula>$Y9&lt;=$Y$4</formula>
    </cfRule>
    <cfRule type="expression" dxfId="1742" priority="1413">
      <formula>$Y9&gt;=$Y$3</formula>
    </cfRule>
  </conditionalFormatting>
  <conditionalFormatting sqref="AD9:AD44">
    <cfRule type="cellIs" dxfId="1741" priority="1407" operator="equal">
      <formula>""</formula>
    </cfRule>
    <cfRule type="cellIs" dxfId="1740" priority="1409" operator="lessThan">
      <formula>0.9</formula>
    </cfRule>
    <cfRule type="cellIs" dxfId="1739" priority="1410" operator="greaterThanOrEqual">
      <formula>1.1</formula>
    </cfRule>
  </conditionalFormatting>
  <conditionalFormatting sqref="O9:Q44">
    <cfRule type="cellIs" dxfId="1738" priority="51" operator="equal">
      <formula>"2F/1S"</formula>
    </cfRule>
    <cfRule type="cellIs" dxfId="1737" priority="52" operator="equal">
      <formula>"1F"</formula>
    </cfRule>
    <cfRule type="cellIs" dxfId="1736" priority="53" operator="equal">
      <formula>"&lt;1F"</formula>
    </cfRule>
  </conditionalFormatting>
  <conditionalFormatting sqref="D9:H44">
    <cfRule type="cellIs" dxfId="1735" priority="50" operator="between">
      <formula>0</formula>
      <formula>1</formula>
    </cfRule>
    <cfRule type="cellIs" dxfId="1734" priority="49" operator="between">
      <formula>1</formula>
      <formula>2</formula>
    </cfRule>
    <cfRule type="cellIs" dxfId="1733" priority="48" operator="between">
      <formula>2</formula>
      <formula>3</formula>
    </cfRule>
    <cfRule type="cellIs" dxfId="1732" priority="47" operator="between">
      <formula>3</formula>
      <formula>4</formula>
    </cfRule>
    <cfRule type="cellIs" dxfId="1731" priority="46" operator="between">
      <formula>4</formula>
      <formula>5</formula>
    </cfRule>
    <cfRule type="cellIs" dxfId="1730" priority="45" operator="equal">
      <formula>""</formula>
    </cfRule>
  </conditionalFormatting>
  <conditionalFormatting sqref="L9:L44">
    <cfRule type="cellIs" dxfId="1729" priority="21" operator="equal">
      <formula>""</formula>
    </cfRule>
    <cfRule type="cellIs" dxfId="1728" priority="22" operator="between">
      <formula>4</formula>
      <formula>5</formula>
    </cfRule>
    <cfRule type="cellIs" dxfId="1727" priority="23" operator="between">
      <formula>3</formula>
      <formula>4</formula>
    </cfRule>
    <cfRule type="cellIs" dxfId="1726" priority="24" operator="between">
      <formula>2</formula>
      <formula>3</formula>
    </cfRule>
    <cfRule type="cellIs" dxfId="1725" priority="25" operator="between">
      <formula>1</formula>
      <formula>2</formula>
    </cfRule>
    <cfRule type="cellIs" dxfId="1724" priority="26" operator="between">
      <formula>0</formula>
      <formula>1</formula>
    </cfRule>
  </conditionalFormatting>
  <conditionalFormatting sqref="M9:M44">
    <cfRule type="cellIs" dxfId="1723" priority="20" operator="equal">
      <formula>"C-3"</formula>
    </cfRule>
    <cfRule type="cellIs" dxfId="1722" priority="19" operator="equal">
      <formula>"C-4"</formula>
    </cfRule>
  </conditionalFormatting>
  <conditionalFormatting sqref="D45:J45 L45:M45">
    <cfRule type="cellIs" dxfId="1721" priority="16" stopIfTrue="1" operator="between">
      <formula>0</formula>
      <formula>1</formula>
    </cfRule>
    <cfRule type="cellIs" dxfId="1720" priority="13" stopIfTrue="1" operator="between">
      <formula>3</formula>
      <formula>4</formula>
    </cfRule>
    <cfRule type="cellIs" dxfId="1719" priority="12" stopIfTrue="1" operator="between">
      <formula>4</formula>
      <formula>5</formula>
    </cfRule>
  </conditionalFormatting>
  <conditionalFormatting sqref="D45:J45 L45:M45">
    <cfRule type="cellIs" dxfId="1718" priority="14" operator="between">
      <formula>2</formula>
      <formula>3</formula>
    </cfRule>
  </conditionalFormatting>
  <conditionalFormatting sqref="D45:J45 L45:M45">
    <cfRule type="cellIs" dxfId="1717" priority="1" operator="equal">
      <formula>""</formula>
    </cfRule>
  </conditionalFormatting>
  <conditionalFormatting sqref="AC46 U46:Y46">
    <cfRule type="cellIs" dxfId="1716" priority="10" operator="equal">
      <formula>"E-5-"</formula>
    </cfRule>
    <cfRule type="cellIs" dxfId="1715" priority="11" operator="equal">
      <formula>"A-1+"</formula>
    </cfRule>
  </conditionalFormatting>
  <conditionalFormatting sqref="D46:J46 L46:M46">
    <cfRule type="cellIs" dxfId="1714" priority="5" stopIfTrue="1" operator="between">
      <formula>"D-3"</formula>
      <formula>"E-5"</formula>
    </cfRule>
    <cfRule type="cellIs" dxfId="1713" priority="6" stopIfTrue="1" operator="between">
      <formula>"B-2"</formula>
      <formula>"B-3"</formula>
    </cfRule>
    <cfRule type="cellIs" dxfId="1712" priority="7" stopIfTrue="1" operator="between">
      <formula>"A-1"</formula>
      <formula>"A-2"</formula>
    </cfRule>
  </conditionalFormatting>
  <conditionalFormatting sqref="D46:J46 L46:M46">
    <cfRule type="cellIs" dxfId="1711" priority="8" operator="equal">
      <formula>"E-5-"</formula>
    </cfRule>
    <cfRule type="cellIs" dxfId="1710" priority="9" operator="equal">
      <formula>"A-1+"</formula>
    </cfRule>
  </conditionalFormatting>
  <conditionalFormatting sqref="D46:J46 L46:M46">
    <cfRule type="cellIs" dxfId="1709" priority="3" operator="equal">
      <formula>"C-4"</formula>
    </cfRule>
    <cfRule type="cellIs" dxfId="1708" priority="4" operator="equal">
      <formula>"C-3"</formula>
    </cfRule>
  </conditionalFormatting>
  <conditionalFormatting sqref="U45:AD45">
    <cfRule type="cellIs" dxfId="1707" priority="2" operator="greaterThan">
      <formula>0</formula>
    </cfRule>
  </conditionalFormatting>
  <conditionalFormatting sqref="D45:J45 L45:M45">
    <cfRule type="cellIs" dxfId="1706" priority="15" operator="between">
      <formula>1</formula>
      <formula>2</formula>
    </cfRule>
  </conditionalFormatting>
  <dataValidations count="1">
    <dataValidation type="list" allowBlank="1" showInputMessage="1" showErrorMessage="1" sqref="O9:Q44" xr:uid="{27F21197-07EA-4BC0-8CA6-DC1D406AA787}">
      <formula1>"1F,2F/1S,"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1"/>
  <sheetViews>
    <sheetView showGridLines="0" showRowColHeaders="0" zoomScaleNormal="100" workbookViewId="0">
      <selection activeCell="C48" sqref="C48:H51"/>
    </sheetView>
  </sheetViews>
  <sheetFormatPr defaultColWidth="9.1796875" defaultRowHeight="12.5" x14ac:dyDescent="0.25"/>
  <cols>
    <col min="1" max="1" width="9.1796875" style="2"/>
    <col min="2" max="2" width="4" style="7" bestFit="1" customWidth="1"/>
    <col min="3" max="3" width="20.7265625" style="6" customWidth="1"/>
    <col min="4" max="8" width="5.7265625" style="3" customWidth="1"/>
    <col min="9" max="10" width="5.7265625" style="3" hidden="1" customWidth="1"/>
    <col min="11" max="13" width="5.7265625" style="3" customWidth="1"/>
    <col min="14" max="17" width="5.7265625" style="599" customWidth="1"/>
    <col min="18" max="18" width="9.1796875" style="2" customWidth="1"/>
    <col min="19" max="19" width="4" style="7" bestFit="1" customWidth="1"/>
    <col min="20" max="20" width="20.7265625" style="6" customWidth="1"/>
    <col min="21" max="25" width="5.7265625" style="3" customWidth="1"/>
    <col min="26" max="27" width="5.7265625" style="3" hidden="1" customWidth="1"/>
    <col min="28" max="30" width="5.7265625" style="3" customWidth="1"/>
    <col min="31" max="16384" width="9.1796875" style="2"/>
  </cols>
  <sheetData>
    <row r="1" spans="1:30" ht="16" thickBot="1" x14ac:dyDescent="0.4">
      <c r="AB1" s="451" t="s">
        <v>276</v>
      </c>
    </row>
    <row r="2" spans="1:30" ht="31.5" thickBot="1" x14ac:dyDescent="0.3">
      <c r="C2" s="448" t="s">
        <v>1</v>
      </c>
      <c r="D2" s="767" t="str">
        <f>BEGINBLAD!$I$3</f>
        <v>groep 7</v>
      </c>
      <c r="E2" s="768"/>
      <c r="F2" s="768"/>
      <c r="G2" s="768"/>
      <c r="H2" s="769"/>
      <c r="O2" s="770" t="s">
        <v>397</v>
      </c>
      <c r="P2" s="771"/>
      <c r="Q2" s="772"/>
      <c r="T2" s="447" t="s">
        <v>274</v>
      </c>
      <c r="U2" s="454">
        <v>52</v>
      </c>
      <c r="V2" s="454">
        <v>52</v>
      </c>
      <c r="W2" s="454">
        <v>52</v>
      </c>
      <c r="X2" s="454">
        <v>52</v>
      </c>
      <c r="Y2" s="454">
        <v>52</v>
      </c>
      <c r="AB2" s="449">
        <f>AVERAGE(U2:AA2)</f>
        <v>52</v>
      </c>
    </row>
    <row r="3" spans="1:30" ht="21.5" hidden="1" x14ac:dyDescent="0.25">
      <c r="C3" s="9"/>
      <c r="D3" s="446"/>
      <c r="E3" s="446"/>
      <c r="F3" s="446"/>
      <c r="G3" s="446"/>
      <c r="H3" s="446"/>
      <c r="O3" s="773"/>
      <c r="P3" s="774"/>
      <c r="Q3" s="775"/>
      <c r="T3" s="442"/>
      <c r="U3" s="446">
        <f>U2+5</f>
        <v>57</v>
      </c>
      <c r="V3" s="446">
        <f t="shared" ref="V3:Y3" si="0">V2+5</f>
        <v>57</v>
      </c>
      <c r="W3" s="446">
        <f t="shared" si="0"/>
        <v>57</v>
      </c>
      <c r="X3" s="446">
        <f t="shared" si="0"/>
        <v>57</v>
      </c>
      <c r="Y3" s="446">
        <f t="shared" si="0"/>
        <v>57</v>
      </c>
    </row>
    <row r="4" spans="1:30" ht="21.5" hidden="1" x14ac:dyDescent="0.25">
      <c r="C4" s="9"/>
      <c r="D4" s="446"/>
      <c r="E4" s="446"/>
      <c r="F4" s="446"/>
      <c r="G4" s="446"/>
      <c r="H4" s="446"/>
      <c r="O4" s="773"/>
      <c r="P4" s="774"/>
      <c r="Q4" s="775"/>
      <c r="T4" s="442"/>
      <c r="U4" s="446">
        <f>U2-5</f>
        <v>47</v>
      </c>
      <c r="V4" s="446">
        <f t="shared" ref="V4:Y4" si="1">V2-5</f>
        <v>47</v>
      </c>
      <c r="W4" s="446">
        <f t="shared" si="1"/>
        <v>47</v>
      </c>
      <c r="X4" s="446">
        <f t="shared" si="1"/>
        <v>47</v>
      </c>
      <c r="Y4" s="446">
        <f t="shared" si="1"/>
        <v>47</v>
      </c>
    </row>
    <row r="5" spans="1:30" x14ac:dyDescent="0.25">
      <c r="C5" s="71" t="s">
        <v>273</v>
      </c>
      <c r="O5" s="773"/>
      <c r="P5" s="774"/>
      <c r="Q5" s="775"/>
      <c r="T5" s="71" t="s">
        <v>272</v>
      </c>
    </row>
    <row r="6" spans="1:30" ht="60" customHeight="1" thickBot="1" x14ac:dyDescent="0.4">
      <c r="C6" s="18" t="s">
        <v>11</v>
      </c>
      <c r="D6" s="19"/>
      <c r="E6" s="19"/>
      <c r="F6" s="19"/>
      <c r="G6" s="191"/>
      <c r="H6" s="19"/>
      <c r="O6" s="776"/>
      <c r="P6" s="777"/>
      <c r="Q6" s="778"/>
      <c r="T6" s="18" t="s">
        <v>11</v>
      </c>
      <c r="U6" s="19"/>
      <c r="V6" s="19"/>
      <c r="W6" s="19"/>
      <c r="X6" s="191"/>
      <c r="Y6" s="19"/>
    </row>
    <row r="7" spans="1:30" ht="5.15" customHeight="1" x14ac:dyDescent="0.25">
      <c r="C7" s="8"/>
      <c r="T7" s="8"/>
    </row>
    <row r="8" spans="1:30" ht="102" x14ac:dyDescent="0.25">
      <c r="A8" s="28" t="s">
        <v>2</v>
      </c>
      <c r="B8" s="48"/>
      <c r="C8" s="49" t="s">
        <v>5</v>
      </c>
      <c r="D8" s="192" t="s">
        <v>91</v>
      </c>
      <c r="E8" s="50" t="s">
        <v>8</v>
      </c>
      <c r="F8" s="50" t="s">
        <v>3</v>
      </c>
      <c r="G8" s="50" t="s">
        <v>4</v>
      </c>
      <c r="H8" s="192" t="s">
        <v>101</v>
      </c>
      <c r="I8" s="50" t="s">
        <v>0</v>
      </c>
      <c r="J8" s="50" t="s">
        <v>6</v>
      </c>
      <c r="K8" s="11"/>
      <c r="L8" s="53" t="s">
        <v>9</v>
      </c>
      <c r="M8" s="53" t="s">
        <v>10</v>
      </c>
      <c r="N8" s="600"/>
      <c r="O8" s="601" t="s">
        <v>398</v>
      </c>
      <c r="P8" s="601" t="s">
        <v>399</v>
      </c>
      <c r="Q8" s="601" t="s">
        <v>400</v>
      </c>
      <c r="R8" s="28" t="s">
        <v>2</v>
      </c>
      <c r="S8" s="48"/>
      <c r="T8" s="49" t="s">
        <v>5</v>
      </c>
      <c r="U8" s="192" t="s">
        <v>91</v>
      </c>
      <c r="V8" s="50" t="s">
        <v>8</v>
      </c>
      <c r="W8" s="50" t="s">
        <v>3</v>
      </c>
      <c r="X8" s="50" t="s">
        <v>4</v>
      </c>
      <c r="Y8" s="192" t="s">
        <v>101</v>
      </c>
      <c r="Z8" s="50" t="s">
        <v>0</v>
      </c>
      <c r="AA8" s="50" t="s">
        <v>6</v>
      </c>
      <c r="AB8" s="11"/>
      <c r="AC8" s="53" t="s">
        <v>9</v>
      </c>
      <c r="AD8" s="53" t="s">
        <v>275</v>
      </c>
    </row>
    <row r="9" spans="1:30" s="4" customFormat="1" ht="19.5" customHeight="1" x14ac:dyDescent="0.25">
      <c r="A9" s="26">
        <f>BEGINBLAD!D5</f>
        <v>0</v>
      </c>
      <c r="B9" s="51">
        <v>1</v>
      </c>
      <c r="C9" s="52" t="str">
        <f>BEGINBLAD!C5</f>
        <v>leerling 1</v>
      </c>
      <c r="D9" s="41">
        <v>1</v>
      </c>
      <c r="E9" s="559">
        <v>1.9</v>
      </c>
      <c r="F9" s="42">
        <v>4.7</v>
      </c>
      <c r="G9" s="42">
        <v>3.1</v>
      </c>
      <c r="H9" s="560">
        <v>2.1</v>
      </c>
      <c r="I9" s="450">
        <f t="shared" ref="I9:I44" si="2">SUM(D9:H9)</f>
        <v>12.799999999999999</v>
      </c>
      <c r="J9" s="450">
        <f t="shared" ref="J9:J44" si="3">COUNTA(D9:H9)</f>
        <v>5</v>
      </c>
      <c r="K9" s="12"/>
      <c r="L9" s="747">
        <f>IF(J9=0,"",IF(J9&gt;0,AVERAGE(D9:H9)))</f>
        <v>2.5599999999999996</v>
      </c>
      <c r="M9" s="54" t="str">
        <f>IF(L9="","",IF(L9&gt;4.5,"A-1+",IF(L9&gt;4.2,"A-1",IF(L9&gt;=4,"A-2",IF(L9&gt;3.3,"B-2",IF(L9&gt;=3,"B-3",IF(L9&gt;2.4,"C-3",IF(L9&gt;=2,"C-4",IF(L9&gt;1.5,"D-4",IF(L9&gt;=1,"D-5",IF(L9&gt;0.5,"E-5",IF(L9&gt;=0,"E-5-"))))))))))))</f>
        <v>C-3</v>
      </c>
      <c r="N9" s="602"/>
      <c r="O9" s="603" t="s">
        <v>402</v>
      </c>
      <c r="P9" s="603" t="s">
        <v>401</v>
      </c>
      <c r="Q9" s="603" t="s">
        <v>401</v>
      </c>
      <c r="R9" s="26">
        <f>BEGINBLAD!D5</f>
        <v>0</v>
      </c>
      <c r="S9" s="51">
        <v>1</v>
      </c>
      <c r="T9" s="52" t="str">
        <f>BEGINBLAD!C5</f>
        <v>leerling 1</v>
      </c>
      <c r="U9" s="443">
        <v>28</v>
      </c>
      <c r="V9" s="443">
        <v>43</v>
      </c>
      <c r="W9" s="443">
        <v>57</v>
      </c>
      <c r="X9" s="443">
        <v>56</v>
      </c>
      <c r="Y9" s="443">
        <v>39</v>
      </c>
      <c r="Z9" s="450">
        <f t="shared" ref="Z9:Z44" si="4">SUM(U9:Y9)</f>
        <v>223</v>
      </c>
      <c r="AA9" s="450">
        <f t="shared" ref="AA9:AA44" si="5">COUNTA(U9:Y9)</f>
        <v>5</v>
      </c>
      <c r="AB9" s="12"/>
      <c r="AC9" s="453">
        <f t="shared" ref="AC9:AC44" si="6">IF(AA9=0,"",IF(AA9&gt;0,Z9/AA9))</f>
        <v>44.6</v>
      </c>
      <c r="AD9" s="452">
        <f>IF(AA9=0,"",IF(AA9&gt;0,AC9/AB$2))</f>
        <v>0.85769230769230775</v>
      </c>
    </row>
    <row r="10" spans="1:30" ht="19.5" customHeight="1" x14ac:dyDescent="0.25">
      <c r="A10" s="27">
        <f>BEGINBLAD!D6</f>
        <v>0</v>
      </c>
      <c r="B10" s="51">
        <v>2</v>
      </c>
      <c r="C10" s="52" t="str">
        <f>BEGINBLAD!C6</f>
        <v>leerling 2</v>
      </c>
      <c r="D10" s="40">
        <v>3.9</v>
      </c>
      <c r="E10" s="559">
        <v>3.7</v>
      </c>
      <c r="F10" s="43">
        <v>3.6</v>
      </c>
      <c r="G10" s="41">
        <v>2.7</v>
      </c>
      <c r="H10" s="560">
        <v>2.6</v>
      </c>
      <c r="I10" s="450">
        <f t="shared" si="2"/>
        <v>16.5</v>
      </c>
      <c r="J10" s="450">
        <f t="shared" si="3"/>
        <v>5</v>
      </c>
      <c r="K10" s="12"/>
      <c r="L10" s="747">
        <f t="shared" ref="L10:L44" si="7">IF(J10=0,"",IF(J10&gt;0,AVERAGE(D10:H10)))</f>
        <v>3.3</v>
      </c>
      <c r="M10" s="54" t="str">
        <f t="shared" ref="M10:M44" si="8">IF(L10="","",IF(L10&gt;4.5,"A-1+",IF(L10&gt;4.2,"A-1",IF(L10&gt;=4,"A-2",IF(L10&gt;3.3,"B-2",IF(L10&gt;=3,"B-3",IF(L10&gt;2.4,"C-3",IF(L10&gt;=2,"C-4",IF(L10&gt;1.5,"D-4",IF(L10&gt;=1,"D-5",IF(L10&gt;0.5,"E-5",IF(L10&gt;=0,"E-5-"))))))))))))</f>
        <v>B-3</v>
      </c>
      <c r="N10" s="602"/>
      <c r="O10" s="603" t="s">
        <v>401</v>
      </c>
      <c r="P10" s="603" t="s">
        <v>401</v>
      </c>
      <c r="Q10" s="603" t="s">
        <v>401</v>
      </c>
      <c r="R10" s="26">
        <f>BEGINBLAD!D6</f>
        <v>0</v>
      </c>
      <c r="S10" s="51">
        <v>2</v>
      </c>
      <c r="T10" s="52" t="str">
        <f>BEGINBLAD!C6</f>
        <v>leerling 2</v>
      </c>
      <c r="U10" s="443">
        <v>60</v>
      </c>
      <c r="V10" s="443">
        <v>57</v>
      </c>
      <c r="W10" s="443">
        <v>57</v>
      </c>
      <c r="X10" s="443">
        <v>50</v>
      </c>
      <c r="Y10" s="443">
        <v>46</v>
      </c>
      <c r="Z10" s="450">
        <f t="shared" si="4"/>
        <v>270</v>
      </c>
      <c r="AA10" s="450">
        <f t="shared" si="5"/>
        <v>5</v>
      </c>
      <c r="AB10" s="12"/>
      <c r="AC10" s="453">
        <f t="shared" si="6"/>
        <v>54</v>
      </c>
      <c r="AD10" s="452">
        <f t="shared" ref="AD10:AD44" si="9">IF(AA10=0,"",IF(AA10&gt;0,AC10/AB$2))</f>
        <v>1.0384615384615385</v>
      </c>
    </row>
    <row r="11" spans="1:30" s="4" customFormat="1" ht="19.5" customHeight="1" x14ac:dyDescent="0.25">
      <c r="A11" s="26">
        <f>BEGINBLAD!D7</f>
        <v>0</v>
      </c>
      <c r="B11" s="51">
        <v>3</v>
      </c>
      <c r="C11" s="52" t="str">
        <f>BEGINBLAD!C7</f>
        <v>leerling 3</v>
      </c>
      <c r="D11" s="43">
        <v>3.6</v>
      </c>
      <c r="E11" s="559">
        <v>3.7</v>
      </c>
      <c r="F11" s="40">
        <v>4</v>
      </c>
      <c r="G11" s="40">
        <v>4.9000000000000004</v>
      </c>
      <c r="H11" s="560">
        <v>4.5</v>
      </c>
      <c r="I11" s="450">
        <f t="shared" si="2"/>
        <v>20.700000000000003</v>
      </c>
      <c r="J11" s="450">
        <f t="shared" si="3"/>
        <v>5</v>
      </c>
      <c r="K11" s="12"/>
      <c r="L11" s="747">
        <f t="shared" si="7"/>
        <v>4.1400000000000006</v>
      </c>
      <c r="M11" s="54" t="str">
        <f t="shared" si="8"/>
        <v>A-2</v>
      </c>
      <c r="N11" s="602"/>
      <c r="O11" s="603" t="s">
        <v>402</v>
      </c>
      <c r="P11" s="603" t="s">
        <v>401</v>
      </c>
      <c r="Q11" s="603" t="s">
        <v>402</v>
      </c>
      <c r="R11" s="26">
        <f>BEGINBLAD!D7</f>
        <v>0</v>
      </c>
      <c r="S11" s="51">
        <v>3</v>
      </c>
      <c r="T11" s="52" t="str">
        <f>BEGINBLAD!C7</f>
        <v>leerling 3</v>
      </c>
      <c r="U11" s="443">
        <v>60</v>
      </c>
      <c r="V11" s="443">
        <v>57</v>
      </c>
      <c r="W11" s="443">
        <v>57</v>
      </c>
      <c r="X11" s="443">
        <v>60</v>
      </c>
      <c r="Y11" s="443">
        <v>64</v>
      </c>
      <c r="Z11" s="450">
        <f t="shared" si="4"/>
        <v>298</v>
      </c>
      <c r="AA11" s="450">
        <f t="shared" si="5"/>
        <v>5</v>
      </c>
      <c r="AB11" s="12"/>
      <c r="AC11" s="453">
        <f t="shared" si="6"/>
        <v>59.6</v>
      </c>
      <c r="AD11" s="452">
        <f t="shared" si="9"/>
        <v>1.1461538461538461</v>
      </c>
    </row>
    <row r="12" spans="1:30" ht="19.5" customHeight="1" x14ac:dyDescent="0.25">
      <c r="A12" s="27">
        <f>BEGINBLAD!D8</f>
        <v>0</v>
      </c>
      <c r="B12" s="51">
        <v>4</v>
      </c>
      <c r="C12" s="52" t="str">
        <f>BEGINBLAD!C8</f>
        <v>leerling 4</v>
      </c>
      <c r="D12" s="40">
        <v>4.5</v>
      </c>
      <c r="E12" s="559">
        <v>4.5</v>
      </c>
      <c r="F12" s="40">
        <v>4.7</v>
      </c>
      <c r="G12" s="40">
        <v>4.9000000000000004</v>
      </c>
      <c r="H12" s="560">
        <v>4.5999999999999996</v>
      </c>
      <c r="I12" s="450">
        <f t="shared" si="2"/>
        <v>23.200000000000003</v>
      </c>
      <c r="J12" s="450">
        <f t="shared" si="3"/>
        <v>5</v>
      </c>
      <c r="K12" s="12"/>
      <c r="L12" s="747">
        <f t="shared" si="7"/>
        <v>4.6400000000000006</v>
      </c>
      <c r="M12" s="54" t="str">
        <f t="shared" si="8"/>
        <v>A-1+</v>
      </c>
      <c r="N12" s="602"/>
      <c r="O12" s="603" t="s">
        <v>402</v>
      </c>
      <c r="P12" s="603" t="s">
        <v>402</v>
      </c>
      <c r="Q12" s="603" t="s">
        <v>402</v>
      </c>
      <c r="R12" s="26">
        <f>BEGINBLAD!D8</f>
        <v>0</v>
      </c>
      <c r="S12" s="51">
        <v>4</v>
      </c>
      <c r="T12" s="52" t="str">
        <f>BEGINBLAD!C8</f>
        <v>leerling 4</v>
      </c>
      <c r="U12" s="443">
        <v>60</v>
      </c>
      <c r="V12" s="443">
        <v>61</v>
      </c>
      <c r="W12" s="443">
        <v>57</v>
      </c>
      <c r="X12" s="443">
        <v>60</v>
      </c>
      <c r="Y12" s="443">
        <v>64</v>
      </c>
      <c r="Z12" s="450">
        <f t="shared" si="4"/>
        <v>302</v>
      </c>
      <c r="AA12" s="450">
        <f t="shared" si="5"/>
        <v>5</v>
      </c>
      <c r="AB12" s="12"/>
      <c r="AC12" s="453">
        <f t="shared" si="6"/>
        <v>60.4</v>
      </c>
      <c r="AD12" s="452">
        <f t="shared" si="9"/>
        <v>1.1615384615384614</v>
      </c>
    </row>
    <row r="13" spans="1:30" s="4" customFormat="1" ht="19.5" customHeight="1" x14ac:dyDescent="0.25">
      <c r="A13" s="26">
        <f>BEGINBLAD!D9</f>
        <v>0</v>
      </c>
      <c r="B13" s="51">
        <v>5</v>
      </c>
      <c r="C13" s="52" t="str">
        <f>BEGINBLAD!C9</f>
        <v>leerling 5</v>
      </c>
      <c r="D13" s="40">
        <v>4.3</v>
      </c>
      <c r="E13" s="559">
        <v>4.9000000000000004</v>
      </c>
      <c r="F13" s="40">
        <v>5</v>
      </c>
      <c r="G13" s="40">
        <v>4.7</v>
      </c>
      <c r="H13" s="560">
        <v>3.7</v>
      </c>
      <c r="I13" s="450">
        <f t="shared" si="2"/>
        <v>22.599999999999998</v>
      </c>
      <c r="J13" s="450">
        <f t="shared" si="3"/>
        <v>5</v>
      </c>
      <c r="K13" s="12"/>
      <c r="L13" s="747">
        <f t="shared" si="7"/>
        <v>4.5199999999999996</v>
      </c>
      <c r="M13" s="54" t="str">
        <f t="shared" si="8"/>
        <v>A-1+</v>
      </c>
      <c r="N13" s="602"/>
      <c r="O13" s="603" t="s">
        <v>402</v>
      </c>
      <c r="P13" s="603" t="s">
        <v>402</v>
      </c>
      <c r="Q13" s="603" t="s">
        <v>402</v>
      </c>
      <c r="R13" s="26">
        <f>BEGINBLAD!D9</f>
        <v>0</v>
      </c>
      <c r="S13" s="51">
        <v>5</v>
      </c>
      <c r="T13" s="52" t="str">
        <f>BEGINBLAD!C9</f>
        <v>leerling 5</v>
      </c>
      <c r="U13" s="443">
        <v>60</v>
      </c>
      <c r="V13" s="443">
        <v>61</v>
      </c>
      <c r="W13" s="443">
        <v>57</v>
      </c>
      <c r="X13" s="443">
        <v>60</v>
      </c>
      <c r="Y13" s="443">
        <v>60</v>
      </c>
      <c r="Z13" s="450">
        <f t="shared" si="4"/>
        <v>298</v>
      </c>
      <c r="AA13" s="450">
        <f t="shared" si="5"/>
        <v>5</v>
      </c>
      <c r="AB13" s="12"/>
      <c r="AC13" s="453">
        <f t="shared" si="6"/>
        <v>59.6</v>
      </c>
      <c r="AD13" s="452">
        <f t="shared" si="9"/>
        <v>1.1461538461538461</v>
      </c>
    </row>
    <row r="14" spans="1:30" ht="19.5" customHeight="1" x14ac:dyDescent="0.25">
      <c r="A14" s="27">
        <f>BEGINBLAD!D10</f>
        <v>0</v>
      </c>
      <c r="B14" s="51">
        <v>6</v>
      </c>
      <c r="C14" s="52" t="str">
        <f>BEGINBLAD!C10</f>
        <v>leerling 6</v>
      </c>
      <c r="D14" s="42">
        <v>2.9</v>
      </c>
      <c r="E14" s="559">
        <v>3.7</v>
      </c>
      <c r="F14" s="41">
        <v>1</v>
      </c>
      <c r="G14" s="44">
        <v>1.2</v>
      </c>
      <c r="H14" s="560">
        <v>1.7</v>
      </c>
      <c r="I14" s="450">
        <f t="shared" si="2"/>
        <v>10.499999999999998</v>
      </c>
      <c r="J14" s="450">
        <f t="shared" si="3"/>
        <v>5</v>
      </c>
      <c r="K14" s="12"/>
      <c r="L14" s="747">
        <f t="shared" si="7"/>
        <v>2.0999999999999996</v>
      </c>
      <c r="M14" s="54" t="str">
        <f t="shared" si="8"/>
        <v>C-4</v>
      </c>
      <c r="N14" s="602"/>
      <c r="O14" s="603"/>
      <c r="P14" s="603" t="s">
        <v>401</v>
      </c>
      <c r="Q14" s="603"/>
      <c r="R14" s="26">
        <f>BEGINBLAD!D10</f>
        <v>0</v>
      </c>
      <c r="S14" s="51">
        <v>6</v>
      </c>
      <c r="T14" s="52" t="str">
        <f>BEGINBLAD!C10</f>
        <v>leerling 6</v>
      </c>
      <c r="U14" s="443">
        <v>48</v>
      </c>
      <c r="V14" s="443">
        <v>57</v>
      </c>
      <c r="W14" s="443">
        <v>34</v>
      </c>
      <c r="X14" s="443">
        <v>41</v>
      </c>
      <c r="Y14" s="443">
        <v>35</v>
      </c>
      <c r="Z14" s="450">
        <f t="shared" si="4"/>
        <v>215</v>
      </c>
      <c r="AA14" s="450">
        <f t="shared" si="5"/>
        <v>5</v>
      </c>
      <c r="AB14" s="12"/>
      <c r="AC14" s="453">
        <f t="shared" si="6"/>
        <v>43</v>
      </c>
      <c r="AD14" s="452">
        <f t="shared" si="9"/>
        <v>0.82692307692307687</v>
      </c>
    </row>
    <row r="15" spans="1:30" s="4" customFormat="1" ht="19.5" customHeight="1" x14ac:dyDescent="0.25">
      <c r="A15" s="26">
        <f>BEGINBLAD!D11</f>
        <v>0</v>
      </c>
      <c r="B15" s="51">
        <v>7</v>
      </c>
      <c r="C15" s="52" t="str">
        <f>BEGINBLAD!C11</f>
        <v>leerling 7</v>
      </c>
      <c r="D15" s="40">
        <v>2.9</v>
      </c>
      <c r="E15" s="559">
        <v>4.3</v>
      </c>
      <c r="F15" s="42">
        <v>2</v>
      </c>
      <c r="G15" s="41">
        <v>3.1</v>
      </c>
      <c r="H15" s="560">
        <v>3.8</v>
      </c>
      <c r="I15" s="450">
        <f t="shared" si="2"/>
        <v>16.099999999999998</v>
      </c>
      <c r="J15" s="450">
        <f t="shared" si="3"/>
        <v>5</v>
      </c>
      <c r="K15" s="12"/>
      <c r="L15" s="747">
        <f t="shared" si="7"/>
        <v>3.2199999999999998</v>
      </c>
      <c r="M15" s="54" t="str">
        <f t="shared" si="8"/>
        <v>B-3</v>
      </c>
      <c r="N15" s="602"/>
      <c r="O15" s="603" t="s">
        <v>401</v>
      </c>
      <c r="P15" s="603" t="s">
        <v>402</v>
      </c>
      <c r="Q15" s="603" t="s">
        <v>401</v>
      </c>
      <c r="R15" s="26">
        <f>BEGINBLAD!D11</f>
        <v>0</v>
      </c>
      <c r="S15" s="51">
        <v>7</v>
      </c>
      <c r="T15" s="52" t="str">
        <f>BEGINBLAD!C11</f>
        <v>leerling 7</v>
      </c>
      <c r="U15" s="443">
        <v>48</v>
      </c>
      <c r="V15" s="443">
        <v>61</v>
      </c>
      <c r="W15" s="443">
        <v>41</v>
      </c>
      <c r="X15" s="443">
        <v>52</v>
      </c>
      <c r="Y15" s="443">
        <v>62</v>
      </c>
      <c r="Z15" s="450">
        <f t="shared" si="4"/>
        <v>264</v>
      </c>
      <c r="AA15" s="450">
        <f t="shared" si="5"/>
        <v>5</v>
      </c>
      <c r="AB15" s="12"/>
      <c r="AC15" s="453">
        <f t="shared" si="6"/>
        <v>52.8</v>
      </c>
      <c r="AD15" s="452">
        <f t="shared" si="9"/>
        <v>1.0153846153846153</v>
      </c>
    </row>
    <row r="16" spans="1:30" ht="19.5" customHeight="1" x14ac:dyDescent="0.25">
      <c r="A16" s="27">
        <f>BEGINBLAD!D12</f>
        <v>0</v>
      </c>
      <c r="B16" s="51">
        <v>8</v>
      </c>
      <c r="C16" s="52" t="str">
        <f>BEGINBLAD!C12</f>
        <v>leerling 8</v>
      </c>
      <c r="D16" s="40">
        <v>4.3</v>
      </c>
      <c r="E16" s="559">
        <v>4.9000000000000004</v>
      </c>
      <c r="F16" s="43">
        <v>4.7</v>
      </c>
      <c r="G16" s="43">
        <v>3.1</v>
      </c>
      <c r="H16" s="560">
        <v>3.6</v>
      </c>
      <c r="I16" s="450">
        <f t="shared" si="2"/>
        <v>20.6</v>
      </c>
      <c r="J16" s="450">
        <f t="shared" si="3"/>
        <v>5</v>
      </c>
      <c r="K16" s="12"/>
      <c r="L16" s="747">
        <f t="shared" si="7"/>
        <v>4.12</v>
      </c>
      <c r="M16" s="54" t="str">
        <f t="shared" si="8"/>
        <v>A-2</v>
      </c>
      <c r="N16" s="602"/>
      <c r="O16" s="603" t="s">
        <v>402</v>
      </c>
      <c r="P16" s="603" t="s">
        <v>402</v>
      </c>
      <c r="Q16" s="603" t="s">
        <v>401</v>
      </c>
      <c r="R16" s="26">
        <f>BEGINBLAD!D12</f>
        <v>0</v>
      </c>
      <c r="S16" s="51">
        <v>8</v>
      </c>
      <c r="T16" s="52" t="str">
        <f>BEGINBLAD!C12</f>
        <v>leerling 8</v>
      </c>
      <c r="U16" s="443">
        <v>60</v>
      </c>
      <c r="V16" s="443">
        <v>61</v>
      </c>
      <c r="W16" s="443">
        <v>57</v>
      </c>
      <c r="X16" s="443">
        <v>52</v>
      </c>
      <c r="Y16" s="443">
        <v>58</v>
      </c>
      <c r="Z16" s="450">
        <f t="shared" si="4"/>
        <v>288</v>
      </c>
      <c r="AA16" s="450">
        <f t="shared" si="5"/>
        <v>5</v>
      </c>
      <c r="AB16" s="12"/>
      <c r="AC16" s="453">
        <f t="shared" si="6"/>
        <v>57.6</v>
      </c>
      <c r="AD16" s="452">
        <f t="shared" si="9"/>
        <v>1.1076923076923078</v>
      </c>
    </row>
    <row r="17" spans="1:30" s="4" customFormat="1" ht="19.5" customHeight="1" x14ac:dyDescent="0.25">
      <c r="A17" s="26">
        <f>BEGINBLAD!D13</f>
        <v>0</v>
      </c>
      <c r="B17" s="51">
        <v>9</v>
      </c>
      <c r="C17" s="52" t="str">
        <f>BEGINBLAD!C13</f>
        <v>leerling 9</v>
      </c>
      <c r="D17" s="42">
        <v>3</v>
      </c>
      <c r="E17" s="559">
        <v>3.3</v>
      </c>
      <c r="F17" s="42">
        <v>3.2</v>
      </c>
      <c r="G17" s="42">
        <v>3.3</v>
      </c>
      <c r="H17" s="560">
        <v>4.0999999999999996</v>
      </c>
      <c r="I17" s="450">
        <f t="shared" si="2"/>
        <v>16.899999999999999</v>
      </c>
      <c r="J17" s="450">
        <f t="shared" si="3"/>
        <v>5</v>
      </c>
      <c r="K17" s="12"/>
      <c r="L17" s="747">
        <f t="shared" si="7"/>
        <v>3.38</v>
      </c>
      <c r="M17" s="54" t="str">
        <f t="shared" si="8"/>
        <v>B-2</v>
      </c>
      <c r="N17" s="602"/>
      <c r="O17" s="603" t="s">
        <v>401</v>
      </c>
      <c r="P17" s="603" t="s">
        <v>401</v>
      </c>
      <c r="Q17" s="603" t="s">
        <v>401</v>
      </c>
      <c r="R17" s="26">
        <f>BEGINBLAD!D13</f>
        <v>0</v>
      </c>
      <c r="S17" s="51">
        <v>9</v>
      </c>
      <c r="T17" s="52" t="str">
        <f>BEGINBLAD!C13</f>
        <v>leerling 9</v>
      </c>
      <c r="U17" s="443">
        <v>49</v>
      </c>
      <c r="V17" s="443">
        <v>54</v>
      </c>
      <c r="W17" s="443">
        <v>56</v>
      </c>
      <c r="X17" s="443">
        <v>53</v>
      </c>
      <c r="Y17" s="443">
        <v>64</v>
      </c>
      <c r="Z17" s="450">
        <f t="shared" si="4"/>
        <v>276</v>
      </c>
      <c r="AA17" s="450">
        <f t="shared" si="5"/>
        <v>5</v>
      </c>
      <c r="AB17" s="12"/>
      <c r="AC17" s="453">
        <f t="shared" si="6"/>
        <v>55.2</v>
      </c>
      <c r="AD17" s="452">
        <f t="shared" si="9"/>
        <v>1.0615384615384615</v>
      </c>
    </row>
    <row r="18" spans="1:30" ht="19.5" customHeight="1" x14ac:dyDescent="0.25">
      <c r="A18" s="27">
        <f>BEGINBLAD!D14</f>
        <v>0</v>
      </c>
      <c r="B18" s="51">
        <v>10</v>
      </c>
      <c r="C18" s="52" t="str">
        <f>BEGINBLAD!C14</f>
        <v>leerling 10</v>
      </c>
      <c r="D18" s="43">
        <v>4.2</v>
      </c>
      <c r="E18" s="559">
        <v>4.3</v>
      </c>
      <c r="F18" s="43">
        <v>4.7</v>
      </c>
      <c r="G18" s="43">
        <v>4.9000000000000004</v>
      </c>
      <c r="H18" s="560">
        <v>4.0999999999999996</v>
      </c>
      <c r="I18" s="450">
        <f t="shared" si="2"/>
        <v>22.200000000000003</v>
      </c>
      <c r="J18" s="450">
        <f t="shared" si="3"/>
        <v>5</v>
      </c>
      <c r="K18" s="12"/>
      <c r="L18" s="747">
        <f t="shared" si="7"/>
        <v>4.4400000000000004</v>
      </c>
      <c r="M18" s="54" t="str">
        <f t="shared" si="8"/>
        <v>A-1</v>
      </c>
      <c r="N18" s="602"/>
      <c r="O18" s="603" t="s">
        <v>402</v>
      </c>
      <c r="P18" s="603" t="s">
        <v>402</v>
      </c>
      <c r="Q18" s="603" t="s">
        <v>402</v>
      </c>
      <c r="R18" s="26">
        <f>BEGINBLAD!D14</f>
        <v>0</v>
      </c>
      <c r="S18" s="51">
        <v>10</v>
      </c>
      <c r="T18" s="52" t="str">
        <f>BEGINBLAD!C14</f>
        <v>leerling 10</v>
      </c>
      <c r="U18" s="443">
        <v>60</v>
      </c>
      <c r="V18" s="443">
        <v>61</v>
      </c>
      <c r="W18" s="443">
        <v>57</v>
      </c>
      <c r="X18" s="443">
        <v>60</v>
      </c>
      <c r="Y18" s="443">
        <v>64</v>
      </c>
      <c r="Z18" s="450">
        <f t="shared" si="4"/>
        <v>302</v>
      </c>
      <c r="AA18" s="450">
        <f t="shared" si="5"/>
        <v>5</v>
      </c>
      <c r="AB18" s="12"/>
      <c r="AC18" s="453">
        <f t="shared" si="6"/>
        <v>60.4</v>
      </c>
      <c r="AD18" s="452">
        <f t="shared" si="9"/>
        <v>1.1615384615384614</v>
      </c>
    </row>
    <row r="19" spans="1:30" s="4" customFormat="1" ht="19.5" customHeight="1" x14ac:dyDescent="0.25">
      <c r="A19" s="26">
        <f>BEGINBLAD!D15</f>
        <v>0</v>
      </c>
      <c r="B19" s="51">
        <v>11</v>
      </c>
      <c r="C19" s="52" t="str">
        <f>BEGINBLAD!C15</f>
        <v>leerling 11</v>
      </c>
      <c r="D19" s="42">
        <v>3.2</v>
      </c>
      <c r="E19" s="559">
        <v>4</v>
      </c>
      <c r="F19" s="42">
        <v>3.2</v>
      </c>
      <c r="G19" s="43">
        <v>3.1</v>
      </c>
      <c r="H19" s="560">
        <v>3</v>
      </c>
      <c r="I19" s="450">
        <f t="shared" si="2"/>
        <v>16.5</v>
      </c>
      <c r="J19" s="450">
        <f t="shared" si="3"/>
        <v>5</v>
      </c>
      <c r="K19" s="12"/>
      <c r="L19" s="747">
        <f t="shared" si="7"/>
        <v>3.3</v>
      </c>
      <c r="M19" s="54" t="str">
        <f t="shared" si="8"/>
        <v>B-3</v>
      </c>
      <c r="N19" s="602"/>
      <c r="O19" s="603" t="s">
        <v>401</v>
      </c>
      <c r="P19" s="603" t="s">
        <v>402</v>
      </c>
      <c r="Q19" s="603" t="s">
        <v>401</v>
      </c>
      <c r="R19" s="26">
        <f>BEGINBLAD!D15</f>
        <v>0</v>
      </c>
      <c r="S19" s="51">
        <v>11</v>
      </c>
      <c r="T19" s="52" t="str">
        <f>BEGINBLAD!C15</f>
        <v>leerling 11</v>
      </c>
      <c r="U19" s="443">
        <v>55</v>
      </c>
      <c r="V19" s="443">
        <v>61</v>
      </c>
      <c r="W19" s="443">
        <v>56</v>
      </c>
      <c r="X19" s="443">
        <v>52</v>
      </c>
      <c r="Y19" s="443">
        <v>52</v>
      </c>
      <c r="Z19" s="450">
        <f t="shared" si="4"/>
        <v>276</v>
      </c>
      <c r="AA19" s="450">
        <f t="shared" si="5"/>
        <v>5</v>
      </c>
      <c r="AB19" s="12"/>
      <c r="AC19" s="453">
        <f t="shared" si="6"/>
        <v>55.2</v>
      </c>
      <c r="AD19" s="452">
        <f t="shared" si="9"/>
        <v>1.0615384615384615</v>
      </c>
    </row>
    <row r="20" spans="1:30" ht="19.5" customHeight="1" x14ac:dyDescent="0.25">
      <c r="A20" s="27">
        <f>BEGINBLAD!D16</f>
        <v>0</v>
      </c>
      <c r="B20" s="51">
        <v>12</v>
      </c>
      <c r="C20" s="52" t="str">
        <f>BEGINBLAD!C16</f>
        <v>leerling 12</v>
      </c>
      <c r="D20" s="42">
        <v>2.8</v>
      </c>
      <c r="E20" s="559">
        <v>3.3</v>
      </c>
      <c r="F20" s="43">
        <v>2.5</v>
      </c>
      <c r="G20" s="44">
        <v>2.2999999999999998</v>
      </c>
      <c r="H20" s="560">
        <v>1.5</v>
      </c>
      <c r="I20" s="450">
        <f t="shared" si="2"/>
        <v>12.399999999999999</v>
      </c>
      <c r="J20" s="450">
        <f t="shared" si="3"/>
        <v>5</v>
      </c>
      <c r="K20" s="12"/>
      <c r="L20" s="747">
        <f t="shared" si="7"/>
        <v>2.4799999999999995</v>
      </c>
      <c r="M20" s="54" t="str">
        <f t="shared" si="8"/>
        <v>C-3</v>
      </c>
      <c r="N20" s="602"/>
      <c r="O20" s="603" t="s">
        <v>401</v>
      </c>
      <c r="P20" s="603" t="s">
        <v>401</v>
      </c>
      <c r="Q20" s="603" t="s">
        <v>401</v>
      </c>
      <c r="R20" s="26">
        <f>BEGINBLAD!D16</f>
        <v>0</v>
      </c>
      <c r="S20" s="51">
        <v>12</v>
      </c>
      <c r="T20" s="52" t="str">
        <f>BEGINBLAD!C16</f>
        <v>leerling 12</v>
      </c>
      <c r="U20" s="443">
        <v>48</v>
      </c>
      <c r="V20" s="443">
        <v>54</v>
      </c>
      <c r="W20" s="443">
        <v>47</v>
      </c>
      <c r="X20" s="443">
        <v>47</v>
      </c>
      <c r="Y20" s="443">
        <v>33</v>
      </c>
      <c r="Z20" s="450">
        <f t="shared" si="4"/>
        <v>229</v>
      </c>
      <c r="AA20" s="450">
        <f t="shared" si="5"/>
        <v>5</v>
      </c>
      <c r="AB20" s="12"/>
      <c r="AC20" s="453">
        <f t="shared" si="6"/>
        <v>45.8</v>
      </c>
      <c r="AD20" s="452">
        <f t="shared" si="9"/>
        <v>0.88076923076923075</v>
      </c>
    </row>
    <row r="21" spans="1:30" s="4" customFormat="1" ht="19.5" customHeight="1" x14ac:dyDescent="0.25">
      <c r="A21" s="26">
        <f>BEGINBLAD!D17</f>
        <v>0</v>
      </c>
      <c r="B21" s="51">
        <v>13</v>
      </c>
      <c r="C21" s="52" t="str">
        <f>BEGINBLAD!C17</f>
        <v>leerling 13</v>
      </c>
      <c r="D21" s="43">
        <v>2.2999999999999998</v>
      </c>
      <c r="E21" s="559">
        <v>4.5</v>
      </c>
      <c r="F21" s="40">
        <v>3.6</v>
      </c>
      <c r="G21" s="43">
        <v>3</v>
      </c>
      <c r="H21" s="560">
        <v>4.2</v>
      </c>
      <c r="I21" s="450">
        <f t="shared" si="2"/>
        <v>17.600000000000001</v>
      </c>
      <c r="J21" s="450">
        <f t="shared" si="3"/>
        <v>5</v>
      </c>
      <c r="K21" s="12"/>
      <c r="L21" s="747">
        <f t="shared" si="7"/>
        <v>3.5200000000000005</v>
      </c>
      <c r="M21" s="54" t="str">
        <f t="shared" si="8"/>
        <v>B-2</v>
      </c>
      <c r="N21" s="602"/>
      <c r="O21" s="603" t="s">
        <v>401</v>
      </c>
      <c r="P21" s="603" t="s">
        <v>402</v>
      </c>
      <c r="Q21" s="603" t="s">
        <v>401</v>
      </c>
      <c r="R21" s="26">
        <f>BEGINBLAD!D17</f>
        <v>0</v>
      </c>
      <c r="S21" s="51">
        <v>13</v>
      </c>
      <c r="T21" s="52" t="str">
        <f>BEGINBLAD!C17</f>
        <v>leerling 13</v>
      </c>
      <c r="U21" s="443">
        <v>43</v>
      </c>
      <c r="V21" s="443">
        <v>61</v>
      </c>
      <c r="W21" s="443">
        <v>57</v>
      </c>
      <c r="X21" s="443">
        <v>52</v>
      </c>
      <c r="Y21" s="443">
        <v>57</v>
      </c>
      <c r="Z21" s="450">
        <f t="shared" si="4"/>
        <v>270</v>
      </c>
      <c r="AA21" s="450">
        <f t="shared" si="5"/>
        <v>5</v>
      </c>
      <c r="AB21" s="12"/>
      <c r="AC21" s="453">
        <f t="shared" si="6"/>
        <v>54</v>
      </c>
      <c r="AD21" s="452">
        <f t="shared" si="9"/>
        <v>1.0384615384615385</v>
      </c>
    </row>
    <row r="22" spans="1:30" ht="19.5" customHeight="1" x14ac:dyDescent="0.25">
      <c r="A22" s="27">
        <f>BEGINBLAD!D18</f>
        <v>0</v>
      </c>
      <c r="B22" s="51">
        <v>14</v>
      </c>
      <c r="C22" s="52" t="str">
        <f>BEGINBLAD!C18</f>
        <v>leerling 14</v>
      </c>
      <c r="D22" s="42">
        <v>1.3</v>
      </c>
      <c r="E22" s="559">
        <v>3.3</v>
      </c>
      <c r="F22" s="40">
        <v>4.7</v>
      </c>
      <c r="G22" s="43">
        <v>3.8</v>
      </c>
      <c r="H22" s="560">
        <v>0.8</v>
      </c>
      <c r="I22" s="450">
        <f t="shared" si="2"/>
        <v>13.900000000000002</v>
      </c>
      <c r="J22" s="450">
        <f t="shared" si="3"/>
        <v>5</v>
      </c>
      <c r="K22" s="12"/>
      <c r="L22" s="747">
        <f t="shared" si="7"/>
        <v>2.7800000000000002</v>
      </c>
      <c r="M22" s="54" t="str">
        <f t="shared" si="8"/>
        <v>C-3</v>
      </c>
      <c r="N22" s="602"/>
      <c r="O22" s="603" t="s">
        <v>402</v>
      </c>
      <c r="P22" s="603" t="s">
        <v>401</v>
      </c>
      <c r="Q22" s="603" t="s">
        <v>401</v>
      </c>
      <c r="R22" s="26">
        <f>BEGINBLAD!D18</f>
        <v>0</v>
      </c>
      <c r="S22" s="51">
        <v>14</v>
      </c>
      <c r="T22" s="52" t="str">
        <f>BEGINBLAD!C18</f>
        <v>leerling 14</v>
      </c>
      <c r="U22" s="443">
        <v>30</v>
      </c>
      <c r="V22" s="443">
        <v>54</v>
      </c>
      <c r="W22" s="443">
        <v>57</v>
      </c>
      <c r="X22" s="443">
        <v>60</v>
      </c>
      <c r="Y22" s="443">
        <v>25</v>
      </c>
      <c r="Z22" s="450">
        <f t="shared" si="4"/>
        <v>226</v>
      </c>
      <c r="AA22" s="450">
        <f t="shared" si="5"/>
        <v>5</v>
      </c>
      <c r="AB22" s="12"/>
      <c r="AC22" s="453">
        <f t="shared" si="6"/>
        <v>45.2</v>
      </c>
      <c r="AD22" s="452">
        <f t="shared" si="9"/>
        <v>0.86923076923076925</v>
      </c>
    </row>
    <row r="23" spans="1:30" s="4" customFormat="1" ht="19.5" customHeight="1" x14ac:dyDescent="0.25">
      <c r="A23" s="26">
        <f>BEGINBLAD!D19</f>
        <v>0</v>
      </c>
      <c r="B23" s="51">
        <v>15</v>
      </c>
      <c r="C23" s="52" t="str">
        <f>BEGINBLAD!C19</f>
        <v>leerling 15</v>
      </c>
      <c r="D23" s="40">
        <v>3.6</v>
      </c>
      <c r="E23" s="559">
        <v>4</v>
      </c>
      <c r="F23" s="43">
        <v>3.6</v>
      </c>
      <c r="G23" s="40">
        <v>4.9000000000000004</v>
      </c>
      <c r="H23" s="560">
        <v>3.9</v>
      </c>
      <c r="I23" s="450">
        <f t="shared" si="2"/>
        <v>20</v>
      </c>
      <c r="J23" s="450">
        <f t="shared" si="3"/>
        <v>5</v>
      </c>
      <c r="K23" s="12"/>
      <c r="L23" s="747">
        <f t="shared" si="7"/>
        <v>4</v>
      </c>
      <c r="M23" s="54" t="str">
        <f t="shared" si="8"/>
        <v>A-2</v>
      </c>
      <c r="N23" s="602"/>
      <c r="O23" s="603" t="s">
        <v>401</v>
      </c>
      <c r="P23" s="603" t="s">
        <v>402</v>
      </c>
      <c r="Q23" s="603" t="s">
        <v>402</v>
      </c>
      <c r="R23" s="26">
        <f>BEGINBLAD!D19</f>
        <v>0</v>
      </c>
      <c r="S23" s="51">
        <v>15</v>
      </c>
      <c r="T23" s="52" t="str">
        <f>BEGINBLAD!C19</f>
        <v>leerling 15</v>
      </c>
      <c r="U23" s="443">
        <v>60</v>
      </c>
      <c r="V23" s="443">
        <v>61</v>
      </c>
      <c r="W23" s="443">
        <v>57</v>
      </c>
      <c r="X23" s="443">
        <v>60</v>
      </c>
      <c r="Y23" s="443">
        <v>62</v>
      </c>
      <c r="Z23" s="450">
        <f t="shared" si="4"/>
        <v>300</v>
      </c>
      <c r="AA23" s="450">
        <f t="shared" si="5"/>
        <v>5</v>
      </c>
      <c r="AB23" s="12"/>
      <c r="AC23" s="453">
        <f t="shared" si="6"/>
        <v>60</v>
      </c>
      <c r="AD23" s="452">
        <f t="shared" si="9"/>
        <v>1.1538461538461537</v>
      </c>
    </row>
    <row r="24" spans="1:30" ht="19.5" customHeight="1" x14ac:dyDescent="0.25">
      <c r="A24" s="27">
        <f>BEGINBLAD!D20</f>
        <v>0</v>
      </c>
      <c r="B24" s="51">
        <v>16</v>
      </c>
      <c r="C24" s="52" t="str">
        <f>BEGINBLAD!C20</f>
        <v>leerling 16</v>
      </c>
      <c r="D24" s="43">
        <v>3.2</v>
      </c>
      <c r="E24" s="559">
        <v>4</v>
      </c>
      <c r="F24" s="40">
        <v>2.2999999999999998</v>
      </c>
      <c r="G24" s="40">
        <v>4.4000000000000004</v>
      </c>
      <c r="H24" s="560">
        <v>4.0999999999999996</v>
      </c>
      <c r="I24" s="450">
        <f t="shared" si="2"/>
        <v>18</v>
      </c>
      <c r="J24" s="450">
        <f t="shared" si="3"/>
        <v>5</v>
      </c>
      <c r="K24" s="12"/>
      <c r="L24" s="747">
        <f t="shared" si="7"/>
        <v>3.6</v>
      </c>
      <c r="M24" s="54" t="str">
        <f t="shared" si="8"/>
        <v>B-2</v>
      </c>
      <c r="N24" s="602"/>
      <c r="O24" s="603" t="s">
        <v>401</v>
      </c>
      <c r="P24" s="603" t="s">
        <v>402</v>
      </c>
      <c r="Q24" s="603" t="s">
        <v>402</v>
      </c>
      <c r="R24" s="26">
        <f>BEGINBLAD!D20</f>
        <v>0</v>
      </c>
      <c r="S24" s="51">
        <v>16</v>
      </c>
      <c r="T24" s="52" t="str">
        <f>BEGINBLAD!C20</f>
        <v>leerling 16</v>
      </c>
      <c r="U24" s="443">
        <v>55</v>
      </c>
      <c r="V24" s="443">
        <v>61</v>
      </c>
      <c r="W24" s="443">
        <v>43</v>
      </c>
      <c r="X24" s="443">
        <v>60</v>
      </c>
      <c r="Y24" s="443">
        <v>64</v>
      </c>
      <c r="Z24" s="450">
        <f t="shared" si="4"/>
        <v>283</v>
      </c>
      <c r="AA24" s="450">
        <f t="shared" si="5"/>
        <v>5</v>
      </c>
      <c r="AB24" s="12"/>
      <c r="AC24" s="453">
        <f t="shared" si="6"/>
        <v>56.6</v>
      </c>
      <c r="AD24" s="452">
        <f t="shared" si="9"/>
        <v>1.0884615384615386</v>
      </c>
    </row>
    <row r="25" spans="1:30" s="4" customFormat="1" ht="19.5" customHeight="1" x14ac:dyDescent="0.25">
      <c r="A25" s="26">
        <f>BEGINBLAD!D21</f>
        <v>0</v>
      </c>
      <c r="B25" s="51">
        <v>17</v>
      </c>
      <c r="C25" s="52" t="str">
        <f>BEGINBLAD!C21</f>
        <v>leerling 17</v>
      </c>
      <c r="D25" s="40">
        <v>4.5</v>
      </c>
      <c r="E25" s="559">
        <v>4.3</v>
      </c>
      <c r="F25" s="41">
        <v>4</v>
      </c>
      <c r="G25" s="42">
        <v>3.3</v>
      </c>
      <c r="H25" s="560">
        <v>2.7</v>
      </c>
      <c r="I25" s="450">
        <f t="shared" si="2"/>
        <v>18.8</v>
      </c>
      <c r="J25" s="450">
        <f t="shared" si="3"/>
        <v>5</v>
      </c>
      <c r="K25" s="12"/>
      <c r="L25" s="747">
        <f t="shared" si="7"/>
        <v>3.7600000000000002</v>
      </c>
      <c r="M25" s="54" t="str">
        <f t="shared" si="8"/>
        <v>B-2</v>
      </c>
      <c r="N25" s="602"/>
      <c r="O25" s="603" t="s">
        <v>402</v>
      </c>
      <c r="P25" s="603" t="s">
        <v>402</v>
      </c>
      <c r="Q25" s="603" t="s">
        <v>401</v>
      </c>
      <c r="R25" s="26">
        <f>BEGINBLAD!D21</f>
        <v>0</v>
      </c>
      <c r="S25" s="51">
        <v>17</v>
      </c>
      <c r="T25" s="52" t="str">
        <f>BEGINBLAD!C21</f>
        <v>leerling 17</v>
      </c>
      <c r="U25" s="443">
        <v>60</v>
      </c>
      <c r="V25" s="443">
        <v>61</v>
      </c>
      <c r="W25" s="443">
        <v>57</v>
      </c>
      <c r="X25" s="443">
        <v>53</v>
      </c>
      <c r="Y25" s="443">
        <v>49</v>
      </c>
      <c r="Z25" s="450">
        <f t="shared" si="4"/>
        <v>280</v>
      </c>
      <c r="AA25" s="450">
        <f t="shared" si="5"/>
        <v>5</v>
      </c>
      <c r="AB25" s="12"/>
      <c r="AC25" s="453">
        <f t="shared" si="6"/>
        <v>56</v>
      </c>
      <c r="AD25" s="452">
        <f t="shared" si="9"/>
        <v>1.0769230769230769</v>
      </c>
    </row>
    <row r="26" spans="1:30" ht="19.5" customHeight="1" x14ac:dyDescent="0.25">
      <c r="A26" s="27">
        <f>BEGINBLAD!D22</f>
        <v>0</v>
      </c>
      <c r="B26" s="51">
        <v>18</v>
      </c>
      <c r="C26" s="52" t="str">
        <f>BEGINBLAD!C22</f>
        <v>leerling 18</v>
      </c>
      <c r="D26" s="42">
        <v>2.5</v>
      </c>
      <c r="E26" s="559">
        <v>4</v>
      </c>
      <c r="F26" s="41">
        <v>2.9</v>
      </c>
      <c r="G26" s="43">
        <v>2.8</v>
      </c>
      <c r="H26" s="560">
        <v>3.1</v>
      </c>
      <c r="I26" s="450">
        <f t="shared" si="2"/>
        <v>15.299999999999999</v>
      </c>
      <c r="J26" s="450">
        <f t="shared" si="3"/>
        <v>5</v>
      </c>
      <c r="K26" s="12"/>
      <c r="L26" s="747">
        <f t="shared" si="7"/>
        <v>3.0599999999999996</v>
      </c>
      <c r="M26" s="54" t="str">
        <f t="shared" si="8"/>
        <v>B-3</v>
      </c>
      <c r="N26" s="602"/>
      <c r="O26" s="603" t="s">
        <v>401</v>
      </c>
      <c r="P26" s="603" t="s">
        <v>402</v>
      </c>
      <c r="Q26" s="603" t="s">
        <v>401</v>
      </c>
      <c r="R26" s="26">
        <f>BEGINBLAD!D22</f>
        <v>0</v>
      </c>
      <c r="S26" s="51">
        <v>18</v>
      </c>
      <c r="T26" s="52" t="str">
        <f>BEGINBLAD!C22</f>
        <v>leerling 18</v>
      </c>
      <c r="U26" s="443">
        <v>46</v>
      </c>
      <c r="V26" s="443">
        <v>61</v>
      </c>
      <c r="W26" s="443">
        <v>51</v>
      </c>
      <c r="X26" s="443">
        <v>51</v>
      </c>
      <c r="Y26" s="443">
        <v>53</v>
      </c>
      <c r="Z26" s="450">
        <f t="shared" si="4"/>
        <v>262</v>
      </c>
      <c r="AA26" s="450">
        <f t="shared" si="5"/>
        <v>5</v>
      </c>
      <c r="AB26" s="12"/>
      <c r="AC26" s="453">
        <f t="shared" si="6"/>
        <v>52.4</v>
      </c>
      <c r="AD26" s="452">
        <f t="shared" si="9"/>
        <v>1.0076923076923077</v>
      </c>
    </row>
    <row r="27" spans="1:30" s="4" customFormat="1" ht="19.5" customHeight="1" x14ac:dyDescent="0.25">
      <c r="A27" s="26">
        <f>BEGINBLAD!D23</f>
        <v>0</v>
      </c>
      <c r="B27" s="51">
        <v>19</v>
      </c>
      <c r="C27" s="52" t="str">
        <f>BEGINBLAD!C23</f>
        <v>leerling 19</v>
      </c>
      <c r="D27" s="42">
        <v>3.1</v>
      </c>
      <c r="E27" s="559">
        <v>3.7</v>
      </c>
      <c r="F27" s="41">
        <v>2</v>
      </c>
      <c r="G27" s="42">
        <v>2.1</v>
      </c>
      <c r="H27" s="560">
        <v>2.8</v>
      </c>
      <c r="I27" s="450">
        <f t="shared" si="2"/>
        <v>13.7</v>
      </c>
      <c r="J27" s="450">
        <f t="shared" si="3"/>
        <v>5</v>
      </c>
      <c r="K27" s="12"/>
      <c r="L27" s="747">
        <f t="shared" si="7"/>
        <v>2.7399999999999998</v>
      </c>
      <c r="M27" s="54" t="str">
        <f t="shared" si="8"/>
        <v>C-3</v>
      </c>
      <c r="N27" s="602"/>
      <c r="O27" s="603" t="s">
        <v>401</v>
      </c>
      <c r="P27" s="603" t="s">
        <v>401</v>
      </c>
      <c r="Q27" s="603" t="s">
        <v>401</v>
      </c>
      <c r="R27" s="26">
        <f>BEGINBLAD!D23</f>
        <v>0</v>
      </c>
      <c r="S27" s="51">
        <v>19</v>
      </c>
      <c r="T27" s="52" t="str">
        <f>BEGINBLAD!C23</f>
        <v>leerling 19</v>
      </c>
      <c r="U27" s="443">
        <v>52</v>
      </c>
      <c r="V27" s="443">
        <v>57</v>
      </c>
      <c r="W27" s="443">
        <v>41</v>
      </c>
      <c r="X27" s="443">
        <v>46</v>
      </c>
      <c r="Y27" s="443">
        <v>50</v>
      </c>
      <c r="Z27" s="450">
        <f t="shared" si="4"/>
        <v>246</v>
      </c>
      <c r="AA27" s="450">
        <f t="shared" si="5"/>
        <v>5</v>
      </c>
      <c r="AB27" s="12"/>
      <c r="AC27" s="453">
        <f t="shared" si="6"/>
        <v>49.2</v>
      </c>
      <c r="AD27" s="452">
        <f t="shared" si="9"/>
        <v>0.94615384615384623</v>
      </c>
    </row>
    <row r="28" spans="1:30" ht="19.5" customHeight="1" x14ac:dyDescent="0.25">
      <c r="A28" s="27">
        <f>BEGINBLAD!D24</f>
        <v>0</v>
      </c>
      <c r="B28" s="51">
        <v>20</v>
      </c>
      <c r="C28" s="52" t="str">
        <f>BEGINBLAD!C24</f>
        <v>leerling 20</v>
      </c>
      <c r="D28" s="41">
        <v>1.8</v>
      </c>
      <c r="E28" s="559">
        <v>2.4</v>
      </c>
      <c r="F28" s="40">
        <v>1.7</v>
      </c>
      <c r="G28" s="43">
        <v>1.7</v>
      </c>
      <c r="H28" s="560">
        <v>2.1</v>
      </c>
      <c r="I28" s="450">
        <f t="shared" si="2"/>
        <v>9.7000000000000011</v>
      </c>
      <c r="J28" s="450">
        <f t="shared" si="3"/>
        <v>5</v>
      </c>
      <c r="K28" s="12"/>
      <c r="L28" s="747">
        <f t="shared" si="7"/>
        <v>1.9400000000000002</v>
      </c>
      <c r="M28" s="54" t="str">
        <f t="shared" si="8"/>
        <v>D-4</v>
      </c>
      <c r="N28" s="602"/>
      <c r="O28" s="603" t="s">
        <v>401</v>
      </c>
      <c r="P28" s="603" t="s">
        <v>401</v>
      </c>
      <c r="Q28" s="603"/>
      <c r="R28" s="26">
        <f>BEGINBLAD!D24</f>
        <v>0</v>
      </c>
      <c r="S28" s="51">
        <v>20</v>
      </c>
      <c r="T28" s="52" t="str">
        <f>BEGINBLAD!C24</f>
        <v>leerling 20</v>
      </c>
      <c r="U28" s="443">
        <v>36</v>
      </c>
      <c r="V28" s="443">
        <v>47</v>
      </c>
      <c r="W28" s="443">
        <v>38</v>
      </c>
      <c r="X28" s="443">
        <v>44</v>
      </c>
      <c r="Y28" s="443">
        <v>39</v>
      </c>
      <c r="Z28" s="450">
        <f t="shared" si="4"/>
        <v>204</v>
      </c>
      <c r="AA28" s="450">
        <f t="shared" si="5"/>
        <v>5</v>
      </c>
      <c r="AB28" s="12"/>
      <c r="AC28" s="453">
        <f t="shared" si="6"/>
        <v>40.799999999999997</v>
      </c>
      <c r="AD28" s="452">
        <f t="shared" si="9"/>
        <v>0.7846153846153846</v>
      </c>
    </row>
    <row r="29" spans="1:30" s="4" customFormat="1" ht="19.5" customHeight="1" x14ac:dyDescent="0.25">
      <c r="A29" s="26">
        <f>BEGINBLAD!D25</f>
        <v>0</v>
      </c>
      <c r="B29" s="51">
        <v>21</v>
      </c>
      <c r="C29" s="52" t="str">
        <f>BEGINBLAD!C25</f>
        <v>leerling 21</v>
      </c>
      <c r="D29" s="42">
        <v>3.6</v>
      </c>
      <c r="E29" s="559">
        <v>2.2000000000000002</v>
      </c>
      <c r="F29" s="42">
        <v>2</v>
      </c>
      <c r="G29" s="43">
        <v>3.4</v>
      </c>
      <c r="H29" s="560">
        <v>2</v>
      </c>
      <c r="I29" s="450">
        <f t="shared" si="2"/>
        <v>13.200000000000001</v>
      </c>
      <c r="J29" s="450">
        <f t="shared" si="3"/>
        <v>5</v>
      </c>
      <c r="K29" s="12"/>
      <c r="L29" s="747">
        <f t="shared" si="7"/>
        <v>2.64</v>
      </c>
      <c r="M29" s="54" t="str">
        <f t="shared" si="8"/>
        <v>C-3</v>
      </c>
      <c r="N29" s="602"/>
      <c r="O29" s="603" t="s">
        <v>401</v>
      </c>
      <c r="P29" s="603" t="s">
        <v>401</v>
      </c>
      <c r="Q29" s="603" t="s">
        <v>401</v>
      </c>
      <c r="R29" s="26">
        <f>BEGINBLAD!D25</f>
        <v>0</v>
      </c>
      <c r="S29" s="51">
        <v>21</v>
      </c>
      <c r="T29" s="52" t="str">
        <f>BEGINBLAD!C25</f>
        <v>leerling 21</v>
      </c>
      <c r="U29" s="444">
        <v>60</v>
      </c>
      <c r="V29" s="443">
        <v>45</v>
      </c>
      <c r="W29" s="443">
        <v>41</v>
      </c>
      <c r="X29" s="443">
        <v>55</v>
      </c>
      <c r="Y29" s="443">
        <v>38</v>
      </c>
      <c r="Z29" s="450">
        <f t="shared" si="4"/>
        <v>239</v>
      </c>
      <c r="AA29" s="450">
        <f t="shared" si="5"/>
        <v>5</v>
      </c>
      <c r="AB29" s="12"/>
      <c r="AC29" s="453">
        <f t="shared" si="6"/>
        <v>47.8</v>
      </c>
      <c r="AD29" s="452">
        <f t="shared" si="9"/>
        <v>0.91923076923076918</v>
      </c>
    </row>
    <row r="30" spans="1:30" ht="19.5" customHeight="1" x14ac:dyDescent="0.25">
      <c r="A30" s="27">
        <f>BEGINBLAD!D26</f>
        <v>0</v>
      </c>
      <c r="B30" s="51">
        <v>22</v>
      </c>
      <c r="C30" s="52" t="str">
        <f>BEGINBLAD!C26</f>
        <v>leerling 22</v>
      </c>
      <c r="D30" s="40">
        <v>4.2</v>
      </c>
      <c r="E30" s="559">
        <v>4.7</v>
      </c>
      <c r="F30" s="43">
        <v>3.2</v>
      </c>
      <c r="G30" s="40">
        <v>3.4</v>
      </c>
      <c r="H30" s="560">
        <v>4.2</v>
      </c>
      <c r="I30" s="450">
        <f t="shared" si="2"/>
        <v>19.700000000000003</v>
      </c>
      <c r="J30" s="450">
        <f t="shared" si="3"/>
        <v>5</v>
      </c>
      <c r="K30" s="12"/>
      <c r="L30" s="747">
        <f t="shared" si="7"/>
        <v>3.9400000000000004</v>
      </c>
      <c r="M30" s="54" t="str">
        <f t="shared" si="8"/>
        <v>B-2</v>
      </c>
      <c r="N30" s="602"/>
      <c r="O30" s="603" t="s">
        <v>401</v>
      </c>
      <c r="P30" s="603" t="s">
        <v>402</v>
      </c>
      <c r="Q30" s="603" t="s">
        <v>401</v>
      </c>
      <c r="R30" s="26">
        <f>BEGINBLAD!D26</f>
        <v>0</v>
      </c>
      <c r="S30" s="51">
        <v>22</v>
      </c>
      <c r="T30" s="52" t="str">
        <f>BEGINBLAD!C26</f>
        <v>leerling 22</v>
      </c>
      <c r="U30" s="443">
        <v>60</v>
      </c>
      <c r="V30" s="443">
        <v>61</v>
      </c>
      <c r="W30" s="443">
        <v>56</v>
      </c>
      <c r="X30" s="443">
        <v>55</v>
      </c>
      <c r="Y30" s="443">
        <v>64</v>
      </c>
      <c r="Z30" s="450">
        <f t="shared" si="4"/>
        <v>296</v>
      </c>
      <c r="AA30" s="450">
        <f t="shared" si="5"/>
        <v>5</v>
      </c>
      <c r="AB30" s="12"/>
      <c r="AC30" s="453">
        <f t="shared" si="6"/>
        <v>59.2</v>
      </c>
      <c r="AD30" s="452">
        <f t="shared" si="9"/>
        <v>1.1384615384615384</v>
      </c>
    </row>
    <row r="31" spans="1:30" s="4" customFormat="1" ht="19.5" customHeight="1" x14ac:dyDescent="0.25">
      <c r="A31" s="26">
        <f>BEGINBLAD!D27</f>
        <v>0</v>
      </c>
      <c r="B31" s="51">
        <v>23</v>
      </c>
      <c r="C31" s="52" t="str">
        <f>BEGINBLAD!C27</f>
        <v>leerling 23</v>
      </c>
      <c r="D31" s="40">
        <v>4.8</v>
      </c>
      <c r="E31" s="559">
        <v>4.7</v>
      </c>
      <c r="F31" s="40">
        <v>4</v>
      </c>
      <c r="G31" s="40">
        <v>4.8</v>
      </c>
      <c r="H31" s="560">
        <v>5</v>
      </c>
      <c r="I31" s="450">
        <f t="shared" si="2"/>
        <v>23.3</v>
      </c>
      <c r="J31" s="450">
        <f t="shared" si="3"/>
        <v>5</v>
      </c>
      <c r="K31" s="12"/>
      <c r="L31" s="747">
        <f t="shared" si="7"/>
        <v>4.66</v>
      </c>
      <c r="M31" s="54" t="str">
        <f t="shared" si="8"/>
        <v>A-1+</v>
      </c>
      <c r="N31" s="602"/>
      <c r="O31" s="603" t="s">
        <v>402</v>
      </c>
      <c r="P31" s="603" t="s">
        <v>402</v>
      </c>
      <c r="Q31" s="603" t="s">
        <v>402</v>
      </c>
      <c r="R31" s="26">
        <f>BEGINBLAD!D27</f>
        <v>0</v>
      </c>
      <c r="S31" s="51">
        <v>23</v>
      </c>
      <c r="T31" s="52" t="str">
        <f>BEGINBLAD!C27</f>
        <v>leerling 23</v>
      </c>
      <c r="U31" s="443">
        <v>60</v>
      </c>
      <c r="V31" s="443">
        <v>61</v>
      </c>
      <c r="W31" s="443">
        <v>57</v>
      </c>
      <c r="X31" s="443">
        <v>60</v>
      </c>
      <c r="Y31" s="443">
        <v>64</v>
      </c>
      <c r="Z31" s="450">
        <f t="shared" si="4"/>
        <v>302</v>
      </c>
      <c r="AA31" s="450">
        <f t="shared" si="5"/>
        <v>5</v>
      </c>
      <c r="AB31" s="12"/>
      <c r="AC31" s="453">
        <f t="shared" si="6"/>
        <v>60.4</v>
      </c>
      <c r="AD31" s="452">
        <f t="shared" si="9"/>
        <v>1.1615384615384614</v>
      </c>
    </row>
    <row r="32" spans="1:30" ht="19.5" customHeight="1" x14ac:dyDescent="0.25">
      <c r="A32" s="27">
        <f>BEGINBLAD!D28</f>
        <v>0</v>
      </c>
      <c r="B32" s="51">
        <v>24</v>
      </c>
      <c r="C32" s="52" t="str">
        <f>BEGINBLAD!C28</f>
        <v>leerling 24</v>
      </c>
      <c r="D32" s="42">
        <v>1.8</v>
      </c>
      <c r="E32" s="559">
        <v>2.4</v>
      </c>
      <c r="F32" s="44">
        <v>1</v>
      </c>
      <c r="G32" s="42">
        <v>1.3</v>
      </c>
      <c r="H32" s="560">
        <v>3.5</v>
      </c>
      <c r="I32" s="450">
        <f t="shared" si="2"/>
        <v>10</v>
      </c>
      <c r="J32" s="450">
        <f t="shared" si="3"/>
        <v>5</v>
      </c>
      <c r="K32" s="12"/>
      <c r="L32" s="747">
        <f t="shared" si="7"/>
        <v>2</v>
      </c>
      <c r="M32" s="54" t="str">
        <f t="shared" si="8"/>
        <v>C-4</v>
      </c>
      <c r="N32" s="602"/>
      <c r="O32" s="603"/>
      <c r="P32" s="603" t="s">
        <v>401</v>
      </c>
      <c r="Q32" s="603"/>
      <c r="R32" s="26">
        <f>BEGINBLAD!D28</f>
        <v>0</v>
      </c>
      <c r="S32" s="51">
        <v>24</v>
      </c>
      <c r="T32" s="52" t="str">
        <f>BEGINBLAD!C28</f>
        <v>leerling 24</v>
      </c>
      <c r="U32" s="443">
        <v>36</v>
      </c>
      <c r="V32" s="443">
        <v>54</v>
      </c>
      <c r="W32" s="443">
        <v>34</v>
      </c>
      <c r="X32" s="443">
        <v>41</v>
      </c>
      <c r="Y32" s="443">
        <v>57</v>
      </c>
      <c r="Z32" s="450">
        <f t="shared" si="4"/>
        <v>222</v>
      </c>
      <c r="AA32" s="450">
        <f t="shared" si="5"/>
        <v>5</v>
      </c>
      <c r="AB32" s="12"/>
      <c r="AC32" s="453">
        <f t="shared" si="6"/>
        <v>44.4</v>
      </c>
      <c r="AD32" s="452">
        <f t="shared" si="9"/>
        <v>0.85384615384615381</v>
      </c>
    </row>
    <row r="33" spans="1:30" s="4" customFormat="1" ht="19.5" customHeight="1" x14ac:dyDescent="0.25">
      <c r="A33" s="26">
        <f>BEGINBLAD!D29</f>
        <v>0</v>
      </c>
      <c r="B33" s="51">
        <v>25</v>
      </c>
      <c r="C33" s="52" t="str">
        <f>BEGINBLAD!C29</f>
        <v>leerling 25</v>
      </c>
      <c r="D33" s="42">
        <v>2.5</v>
      </c>
      <c r="E33" s="559">
        <v>4.5</v>
      </c>
      <c r="F33" s="40">
        <v>4.4000000000000004</v>
      </c>
      <c r="G33" s="40">
        <v>4.8</v>
      </c>
      <c r="H33" s="560">
        <v>4.3</v>
      </c>
      <c r="I33" s="450">
        <f t="shared" si="2"/>
        <v>20.5</v>
      </c>
      <c r="J33" s="450">
        <f t="shared" si="3"/>
        <v>5</v>
      </c>
      <c r="K33" s="12"/>
      <c r="L33" s="747">
        <f t="shared" si="7"/>
        <v>4.0999999999999996</v>
      </c>
      <c r="M33" s="54" t="str">
        <f t="shared" si="8"/>
        <v>A-2</v>
      </c>
      <c r="N33" s="602"/>
      <c r="O33" s="603" t="s">
        <v>402</v>
      </c>
      <c r="P33" s="603" t="s">
        <v>402</v>
      </c>
      <c r="Q33" s="603" t="s">
        <v>402</v>
      </c>
      <c r="R33" s="26">
        <f>BEGINBLAD!D29</f>
        <v>0</v>
      </c>
      <c r="S33" s="51">
        <v>25</v>
      </c>
      <c r="T33" s="52" t="str">
        <f>BEGINBLAD!C29</f>
        <v>leerling 25</v>
      </c>
      <c r="U33" s="443">
        <v>46</v>
      </c>
      <c r="V33" s="443">
        <v>61</v>
      </c>
      <c r="W33" s="443">
        <v>57</v>
      </c>
      <c r="X33" s="443">
        <v>60</v>
      </c>
      <c r="Y33" s="443">
        <v>64</v>
      </c>
      <c r="Z33" s="450">
        <f t="shared" si="4"/>
        <v>288</v>
      </c>
      <c r="AA33" s="450">
        <f t="shared" si="5"/>
        <v>5</v>
      </c>
      <c r="AB33" s="12"/>
      <c r="AC33" s="453">
        <f t="shared" si="6"/>
        <v>57.6</v>
      </c>
      <c r="AD33" s="452">
        <f t="shared" si="9"/>
        <v>1.1076923076923078</v>
      </c>
    </row>
    <row r="34" spans="1:30" ht="19.5" customHeight="1" x14ac:dyDescent="0.25">
      <c r="A34" s="27">
        <f>BEGINBLAD!D30</f>
        <v>0</v>
      </c>
      <c r="B34" s="51">
        <v>26</v>
      </c>
      <c r="C34" s="52" t="str">
        <f>BEGINBLAD!C30</f>
        <v>leerling 26</v>
      </c>
      <c r="D34" s="41">
        <v>1.2</v>
      </c>
      <c r="E34" s="42">
        <v>1.9</v>
      </c>
      <c r="F34" s="44">
        <v>0.6</v>
      </c>
      <c r="G34" s="42">
        <v>2.6</v>
      </c>
      <c r="H34" s="42"/>
      <c r="I34" s="450">
        <f t="shared" si="2"/>
        <v>6.3</v>
      </c>
      <c r="J34" s="450">
        <f t="shared" si="3"/>
        <v>4</v>
      </c>
      <c r="K34" s="12"/>
      <c r="L34" s="747">
        <f t="shared" si="7"/>
        <v>1.575</v>
      </c>
      <c r="M34" s="54" t="str">
        <f t="shared" si="8"/>
        <v>D-4</v>
      </c>
      <c r="N34" s="602"/>
      <c r="O34" s="603"/>
      <c r="P34" s="603"/>
      <c r="Q34" s="603" t="s">
        <v>401</v>
      </c>
      <c r="R34" s="26">
        <f>BEGINBLAD!D30</f>
        <v>0</v>
      </c>
      <c r="S34" s="51">
        <v>26</v>
      </c>
      <c r="T34" s="52" t="str">
        <f>BEGINBLAD!C30</f>
        <v>leerling 26</v>
      </c>
      <c r="U34" s="443">
        <v>29</v>
      </c>
      <c r="V34" s="443">
        <v>41</v>
      </c>
      <c r="W34" s="443">
        <v>10</v>
      </c>
      <c r="X34" s="443">
        <v>46</v>
      </c>
      <c r="Y34" s="443"/>
      <c r="Z34" s="450">
        <f t="shared" si="4"/>
        <v>126</v>
      </c>
      <c r="AA34" s="450">
        <f t="shared" si="5"/>
        <v>4</v>
      </c>
      <c r="AB34" s="12"/>
      <c r="AC34" s="453">
        <f t="shared" si="6"/>
        <v>31.5</v>
      </c>
      <c r="AD34" s="452">
        <f t="shared" si="9"/>
        <v>0.60576923076923073</v>
      </c>
    </row>
    <row r="35" spans="1:30" s="4" customFormat="1" ht="19.5" customHeight="1" x14ac:dyDescent="0.25">
      <c r="A35" s="26">
        <f>BEGINBLAD!D31</f>
        <v>0</v>
      </c>
      <c r="B35" s="51">
        <v>27</v>
      </c>
      <c r="C35" s="52">
        <f>BEGINBLAD!C31</f>
        <v>0</v>
      </c>
      <c r="D35" s="41"/>
      <c r="E35" s="40"/>
      <c r="F35" s="40"/>
      <c r="G35" s="43"/>
      <c r="H35" s="42"/>
      <c r="I35" s="450">
        <f t="shared" si="2"/>
        <v>0</v>
      </c>
      <c r="J35" s="450">
        <f t="shared" si="3"/>
        <v>0</v>
      </c>
      <c r="K35" s="12"/>
      <c r="L35" s="747" t="str">
        <f t="shared" si="7"/>
        <v/>
      </c>
      <c r="M35" s="54" t="str">
        <f t="shared" si="8"/>
        <v/>
      </c>
      <c r="N35" s="602"/>
      <c r="O35" s="603"/>
      <c r="P35" s="603"/>
      <c r="Q35" s="603"/>
      <c r="R35" s="26">
        <f>BEGINBLAD!D31</f>
        <v>0</v>
      </c>
      <c r="S35" s="51">
        <v>27</v>
      </c>
      <c r="T35" s="52">
        <f>BEGINBLAD!C31</f>
        <v>0</v>
      </c>
      <c r="U35" s="443"/>
      <c r="V35" s="443"/>
      <c r="W35" s="443"/>
      <c r="X35" s="443"/>
      <c r="Y35" s="443"/>
      <c r="Z35" s="450">
        <f t="shared" si="4"/>
        <v>0</v>
      </c>
      <c r="AA35" s="450">
        <f t="shared" si="5"/>
        <v>0</v>
      </c>
      <c r="AB35" s="12"/>
      <c r="AC35" s="453" t="str">
        <f t="shared" si="6"/>
        <v/>
      </c>
      <c r="AD35" s="452" t="str">
        <f t="shared" si="9"/>
        <v/>
      </c>
    </row>
    <row r="36" spans="1:30" ht="19.5" customHeight="1" x14ac:dyDescent="0.25">
      <c r="A36" s="27">
        <f>BEGINBLAD!D32</f>
        <v>0</v>
      </c>
      <c r="B36" s="51">
        <v>28</v>
      </c>
      <c r="C36" s="52">
        <f>BEGINBLAD!C32</f>
        <v>0</v>
      </c>
      <c r="D36" s="41"/>
      <c r="E36" s="42"/>
      <c r="F36" s="42"/>
      <c r="G36" s="44"/>
      <c r="H36" s="40"/>
      <c r="I36" s="450">
        <f t="shared" si="2"/>
        <v>0</v>
      </c>
      <c r="J36" s="450">
        <f t="shared" si="3"/>
        <v>0</v>
      </c>
      <c r="K36" s="12"/>
      <c r="L36" s="747" t="str">
        <f t="shared" si="7"/>
        <v/>
      </c>
      <c r="M36" s="54" t="str">
        <f t="shared" si="8"/>
        <v/>
      </c>
      <c r="N36" s="602"/>
      <c r="O36" s="603"/>
      <c r="P36" s="603"/>
      <c r="Q36" s="603"/>
      <c r="R36" s="26">
        <f>BEGINBLAD!D32</f>
        <v>0</v>
      </c>
      <c r="S36" s="51">
        <v>28</v>
      </c>
      <c r="T36" s="52">
        <f>BEGINBLAD!C32</f>
        <v>0</v>
      </c>
      <c r="U36" s="443"/>
      <c r="V36" s="443"/>
      <c r="W36" s="443"/>
      <c r="X36" s="443"/>
      <c r="Y36" s="443"/>
      <c r="Z36" s="450">
        <f t="shared" si="4"/>
        <v>0</v>
      </c>
      <c r="AA36" s="450">
        <f t="shared" si="5"/>
        <v>0</v>
      </c>
      <c r="AB36" s="12"/>
      <c r="AC36" s="453" t="str">
        <f t="shared" si="6"/>
        <v/>
      </c>
      <c r="AD36" s="452" t="str">
        <f t="shared" si="9"/>
        <v/>
      </c>
    </row>
    <row r="37" spans="1:30" s="4" customFormat="1" ht="19.5" customHeight="1" x14ac:dyDescent="0.25">
      <c r="A37" s="26">
        <f>BEGINBLAD!D33</f>
        <v>0</v>
      </c>
      <c r="B37" s="51">
        <v>29</v>
      </c>
      <c r="C37" s="52">
        <f>BEGINBLAD!C33</f>
        <v>0</v>
      </c>
      <c r="D37" s="44"/>
      <c r="E37" s="41"/>
      <c r="F37" s="43"/>
      <c r="G37" s="43"/>
      <c r="H37" s="43"/>
      <c r="I37" s="450">
        <f t="shared" si="2"/>
        <v>0</v>
      </c>
      <c r="J37" s="450">
        <f t="shared" si="3"/>
        <v>0</v>
      </c>
      <c r="K37" s="12"/>
      <c r="L37" s="747" t="str">
        <f t="shared" si="7"/>
        <v/>
      </c>
      <c r="M37" s="54" t="str">
        <f t="shared" si="8"/>
        <v/>
      </c>
      <c r="N37" s="602"/>
      <c r="O37" s="603"/>
      <c r="P37" s="603"/>
      <c r="Q37" s="603"/>
      <c r="R37" s="26">
        <f>BEGINBLAD!D33</f>
        <v>0</v>
      </c>
      <c r="S37" s="51">
        <v>29</v>
      </c>
      <c r="T37" s="52">
        <f>BEGINBLAD!C33</f>
        <v>0</v>
      </c>
      <c r="U37" s="443"/>
      <c r="V37" s="443"/>
      <c r="W37" s="443"/>
      <c r="X37" s="443"/>
      <c r="Y37" s="443"/>
      <c r="Z37" s="450">
        <f t="shared" si="4"/>
        <v>0</v>
      </c>
      <c r="AA37" s="450">
        <f t="shared" si="5"/>
        <v>0</v>
      </c>
      <c r="AB37" s="12"/>
      <c r="AC37" s="453" t="str">
        <f t="shared" si="6"/>
        <v/>
      </c>
      <c r="AD37" s="452" t="str">
        <f t="shared" si="9"/>
        <v/>
      </c>
    </row>
    <row r="38" spans="1:30" ht="19.5" customHeight="1" x14ac:dyDescent="0.25">
      <c r="A38" s="27">
        <f>BEGINBLAD!D34</f>
        <v>0</v>
      </c>
      <c r="B38" s="51">
        <v>30</v>
      </c>
      <c r="C38" s="52">
        <f>BEGINBLAD!C34</f>
        <v>0</v>
      </c>
      <c r="D38" s="29"/>
      <c r="E38" s="30"/>
      <c r="F38" s="29"/>
      <c r="G38" s="29"/>
      <c r="H38" s="29"/>
      <c r="I38" s="450">
        <f t="shared" si="2"/>
        <v>0</v>
      </c>
      <c r="J38" s="450">
        <f t="shared" si="3"/>
        <v>0</v>
      </c>
      <c r="K38" s="12"/>
      <c r="L38" s="747" t="str">
        <f t="shared" si="7"/>
        <v/>
      </c>
      <c r="M38" s="54" t="str">
        <f t="shared" si="8"/>
        <v/>
      </c>
      <c r="N38" s="602"/>
      <c r="O38" s="603"/>
      <c r="P38" s="603"/>
      <c r="Q38" s="603"/>
      <c r="R38" s="26">
        <f>BEGINBLAD!D34</f>
        <v>0</v>
      </c>
      <c r="S38" s="51">
        <v>30</v>
      </c>
      <c r="T38" s="52">
        <f>BEGINBLAD!C34</f>
        <v>0</v>
      </c>
      <c r="U38" s="445"/>
      <c r="V38" s="443"/>
      <c r="W38" s="443"/>
      <c r="X38" s="443"/>
      <c r="Y38" s="443"/>
      <c r="Z38" s="450">
        <f t="shared" si="4"/>
        <v>0</v>
      </c>
      <c r="AA38" s="450">
        <f t="shared" si="5"/>
        <v>0</v>
      </c>
      <c r="AB38" s="12"/>
      <c r="AC38" s="453" t="str">
        <f t="shared" si="6"/>
        <v/>
      </c>
      <c r="AD38" s="452" t="str">
        <f t="shared" si="9"/>
        <v/>
      </c>
    </row>
    <row r="39" spans="1:30" s="4" customFormat="1" ht="19.5" customHeight="1" x14ac:dyDescent="0.25">
      <c r="A39" s="26">
        <f>BEGINBLAD!D35</f>
        <v>0</v>
      </c>
      <c r="B39" s="51">
        <v>31</v>
      </c>
      <c r="C39" s="52">
        <f>BEGINBLAD!C35</f>
        <v>0</v>
      </c>
      <c r="D39" s="29"/>
      <c r="E39" s="29"/>
      <c r="F39" s="29"/>
      <c r="G39" s="29"/>
      <c r="H39" s="29"/>
      <c r="I39" s="450">
        <f t="shared" si="2"/>
        <v>0</v>
      </c>
      <c r="J39" s="450">
        <f t="shared" si="3"/>
        <v>0</v>
      </c>
      <c r="K39" s="12"/>
      <c r="L39" s="747" t="str">
        <f t="shared" si="7"/>
        <v/>
      </c>
      <c r="M39" s="54" t="str">
        <f t="shared" si="8"/>
        <v/>
      </c>
      <c r="N39" s="602"/>
      <c r="O39" s="603"/>
      <c r="P39" s="603"/>
      <c r="Q39" s="603"/>
      <c r="R39" s="26">
        <f>BEGINBLAD!D35</f>
        <v>0</v>
      </c>
      <c r="S39" s="51">
        <v>31</v>
      </c>
      <c r="T39" s="52">
        <f>BEGINBLAD!C35</f>
        <v>0</v>
      </c>
      <c r="U39" s="445"/>
      <c r="V39" s="443"/>
      <c r="W39" s="443"/>
      <c r="X39" s="443"/>
      <c r="Y39" s="443"/>
      <c r="Z39" s="450">
        <f t="shared" si="4"/>
        <v>0</v>
      </c>
      <c r="AA39" s="450">
        <f t="shared" si="5"/>
        <v>0</v>
      </c>
      <c r="AB39" s="12"/>
      <c r="AC39" s="453" t="str">
        <f t="shared" si="6"/>
        <v/>
      </c>
      <c r="AD39" s="452" t="str">
        <f t="shared" si="9"/>
        <v/>
      </c>
    </row>
    <row r="40" spans="1:30" ht="19.5" customHeight="1" x14ac:dyDescent="0.25">
      <c r="A40" s="27">
        <f>BEGINBLAD!D36</f>
        <v>0</v>
      </c>
      <c r="B40" s="51">
        <v>32</v>
      </c>
      <c r="C40" s="52">
        <f>BEGINBLAD!C36</f>
        <v>0</v>
      </c>
      <c r="D40" s="29"/>
      <c r="E40" s="29"/>
      <c r="F40" s="29"/>
      <c r="G40" s="29"/>
      <c r="H40" s="29"/>
      <c r="I40" s="450">
        <f t="shared" si="2"/>
        <v>0</v>
      </c>
      <c r="J40" s="450">
        <f t="shared" si="3"/>
        <v>0</v>
      </c>
      <c r="K40" s="12"/>
      <c r="L40" s="747" t="str">
        <f t="shared" si="7"/>
        <v/>
      </c>
      <c r="M40" s="54" t="str">
        <f t="shared" si="8"/>
        <v/>
      </c>
      <c r="N40" s="602"/>
      <c r="O40" s="603"/>
      <c r="P40" s="603"/>
      <c r="Q40" s="603"/>
      <c r="R40" s="26">
        <f>BEGINBLAD!D36</f>
        <v>0</v>
      </c>
      <c r="S40" s="51">
        <v>32</v>
      </c>
      <c r="T40" s="52">
        <f>BEGINBLAD!C36</f>
        <v>0</v>
      </c>
      <c r="U40" s="445"/>
      <c r="V40" s="443"/>
      <c r="W40" s="443"/>
      <c r="X40" s="443"/>
      <c r="Y40" s="443"/>
      <c r="Z40" s="450">
        <f t="shared" si="4"/>
        <v>0</v>
      </c>
      <c r="AA40" s="450">
        <f t="shared" si="5"/>
        <v>0</v>
      </c>
      <c r="AB40" s="12"/>
      <c r="AC40" s="453" t="str">
        <f t="shared" si="6"/>
        <v/>
      </c>
      <c r="AD40" s="452" t="str">
        <f t="shared" si="9"/>
        <v/>
      </c>
    </row>
    <row r="41" spans="1:30" s="4" customFormat="1" ht="19.5" customHeight="1" x14ac:dyDescent="0.25">
      <c r="A41" s="26">
        <f>BEGINBLAD!D37</f>
        <v>0</v>
      </c>
      <c r="B41" s="51">
        <v>33</v>
      </c>
      <c r="C41" s="52">
        <f>BEGINBLAD!C37</f>
        <v>0</v>
      </c>
      <c r="D41" s="29"/>
      <c r="E41" s="29"/>
      <c r="F41" s="29"/>
      <c r="G41" s="29"/>
      <c r="H41" s="29"/>
      <c r="I41" s="450">
        <f t="shared" si="2"/>
        <v>0</v>
      </c>
      <c r="J41" s="450">
        <f t="shared" si="3"/>
        <v>0</v>
      </c>
      <c r="K41" s="12"/>
      <c r="L41" s="747" t="str">
        <f t="shared" si="7"/>
        <v/>
      </c>
      <c r="M41" s="54" t="str">
        <f t="shared" si="8"/>
        <v/>
      </c>
      <c r="N41" s="602"/>
      <c r="O41" s="603"/>
      <c r="P41" s="603"/>
      <c r="Q41" s="603"/>
      <c r="R41" s="26">
        <f>BEGINBLAD!D37</f>
        <v>0</v>
      </c>
      <c r="S41" s="51">
        <v>33</v>
      </c>
      <c r="T41" s="52">
        <f>BEGINBLAD!C37</f>
        <v>0</v>
      </c>
      <c r="U41" s="445"/>
      <c r="V41" s="443"/>
      <c r="W41" s="443"/>
      <c r="X41" s="443"/>
      <c r="Y41" s="443"/>
      <c r="Z41" s="450">
        <f t="shared" si="4"/>
        <v>0</v>
      </c>
      <c r="AA41" s="450">
        <f t="shared" si="5"/>
        <v>0</v>
      </c>
      <c r="AB41" s="12"/>
      <c r="AC41" s="453" t="str">
        <f t="shared" si="6"/>
        <v/>
      </c>
      <c r="AD41" s="452" t="str">
        <f t="shared" si="9"/>
        <v/>
      </c>
    </row>
    <row r="42" spans="1:30" s="4" customFormat="1" ht="19.5" customHeight="1" x14ac:dyDescent="0.25">
      <c r="A42" s="26"/>
      <c r="B42" s="51">
        <v>34</v>
      </c>
      <c r="C42" s="52">
        <f>BEGINBLAD!C38</f>
        <v>0</v>
      </c>
      <c r="D42" s="29"/>
      <c r="E42" s="29"/>
      <c r="F42" s="29"/>
      <c r="G42" s="29"/>
      <c r="H42" s="29"/>
      <c r="I42" s="450">
        <f t="shared" si="2"/>
        <v>0</v>
      </c>
      <c r="J42" s="450">
        <f t="shared" si="3"/>
        <v>0</v>
      </c>
      <c r="K42" s="12"/>
      <c r="L42" s="747" t="str">
        <f t="shared" si="7"/>
        <v/>
      </c>
      <c r="M42" s="54" t="str">
        <f t="shared" si="8"/>
        <v/>
      </c>
      <c r="N42" s="602"/>
      <c r="O42" s="603"/>
      <c r="P42" s="603"/>
      <c r="Q42" s="603"/>
      <c r="R42" s="26">
        <f>BEGINBLAD!D38</f>
        <v>0</v>
      </c>
      <c r="S42" s="51">
        <v>34</v>
      </c>
      <c r="T42" s="52">
        <f>BEGINBLAD!C38</f>
        <v>0</v>
      </c>
      <c r="U42" s="445"/>
      <c r="V42" s="443"/>
      <c r="W42" s="443"/>
      <c r="X42" s="443"/>
      <c r="Y42" s="443"/>
      <c r="Z42" s="450">
        <f t="shared" si="4"/>
        <v>0</v>
      </c>
      <c r="AA42" s="450">
        <f t="shared" si="5"/>
        <v>0</v>
      </c>
      <c r="AB42" s="12"/>
      <c r="AC42" s="453" t="str">
        <f t="shared" si="6"/>
        <v/>
      </c>
      <c r="AD42" s="452" t="str">
        <f t="shared" si="9"/>
        <v/>
      </c>
    </row>
    <row r="43" spans="1:30" ht="19.5" customHeight="1" x14ac:dyDescent="0.25">
      <c r="A43" s="27">
        <f>BEGINBLAD!D38</f>
        <v>0</v>
      </c>
      <c r="B43" s="51">
        <v>35</v>
      </c>
      <c r="C43" s="52">
        <f>BEGINBLAD!C39</f>
        <v>0</v>
      </c>
      <c r="D43" s="29"/>
      <c r="E43" s="29"/>
      <c r="F43" s="29"/>
      <c r="G43" s="29"/>
      <c r="H43" s="29"/>
      <c r="I43" s="450">
        <f t="shared" si="2"/>
        <v>0</v>
      </c>
      <c r="J43" s="450">
        <f t="shared" si="3"/>
        <v>0</v>
      </c>
      <c r="K43" s="12"/>
      <c r="L43" s="747" t="str">
        <f t="shared" si="7"/>
        <v/>
      </c>
      <c r="M43" s="54" t="str">
        <f t="shared" si="8"/>
        <v/>
      </c>
      <c r="N43" s="602"/>
      <c r="O43" s="603"/>
      <c r="P43" s="603"/>
      <c r="Q43" s="603"/>
      <c r="R43" s="26">
        <f>BEGINBLAD!D39</f>
        <v>0</v>
      </c>
      <c r="S43" s="51">
        <v>35</v>
      </c>
      <c r="T43" s="52">
        <f>BEGINBLAD!C39</f>
        <v>0</v>
      </c>
      <c r="U43" s="445"/>
      <c r="V43" s="443"/>
      <c r="W43" s="443"/>
      <c r="X43" s="443"/>
      <c r="Y43" s="443"/>
      <c r="Z43" s="450">
        <f t="shared" si="4"/>
        <v>0</v>
      </c>
      <c r="AA43" s="450">
        <f t="shared" si="5"/>
        <v>0</v>
      </c>
      <c r="AB43" s="12"/>
      <c r="AC43" s="453" t="str">
        <f t="shared" si="6"/>
        <v/>
      </c>
      <c r="AD43" s="452" t="str">
        <f t="shared" si="9"/>
        <v/>
      </c>
    </row>
    <row r="44" spans="1:30" s="4" customFormat="1" ht="19.5" customHeight="1" x14ac:dyDescent="0.25">
      <c r="A44" s="26">
        <f>BEGINBLAD!D39</f>
        <v>0</v>
      </c>
      <c r="B44" s="51">
        <v>36</v>
      </c>
      <c r="C44" s="52">
        <f>BEGINBLAD!C40</f>
        <v>0</v>
      </c>
      <c r="D44" s="29"/>
      <c r="E44" s="29"/>
      <c r="F44" s="29"/>
      <c r="G44" s="29"/>
      <c r="H44" s="29"/>
      <c r="I44" s="450">
        <f t="shared" si="2"/>
        <v>0</v>
      </c>
      <c r="J44" s="450">
        <f t="shared" si="3"/>
        <v>0</v>
      </c>
      <c r="K44" s="12"/>
      <c r="L44" s="747" t="str">
        <f t="shared" si="7"/>
        <v/>
      </c>
      <c r="M44" s="54" t="str">
        <f t="shared" si="8"/>
        <v/>
      </c>
      <c r="N44" s="602"/>
      <c r="O44" s="603"/>
      <c r="P44" s="603"/>
      <c r="Q44" s="603"/>
      <c r="R44" s="26">
        <f>BEGINBLAD!D40</f>
        <v>0</v>
      </c>
      <c r="S44" s="51">
        <v>36</v>
      </c>
      <c r="T44" s="52">
        <f>BEGINBLAD!C40</f>
        <v>0</v>
      </c>
      <c r="U44" s="445"/>
      <c r="V44" s="443"/>
      <c r="W44" s="443"/>
      <c r="X44" s="443"/>
      <c r="Y44" s="443"/>
      <c r="Z44" s="450">
        <f t="shared" si="4"/>
        <v>0</v>
      </c>
      <c r="AA44" s="450">
        <f t="shared" si="5"/>
        <v>0</v>
      </c>
      <c r="AB44" s="12"/>
      <c r="AC44" s="453" t="str">
        <f t="shared" si="6"/>
        <v/>
      </c>
      <c r="AD44" s="452" t="str">
        <f t="shared" si="9"/>
        <v/>
      </c>
    </row>
    <row r="45" spans="1:30" ht="19.5" customHeight="1" x14ac:dyDescent="0.25">
      <c r="C45" s="13" t="s">
        <v>9</v>
      </c>
      <c r="D45" s="755">
        <f>AVERAGE(D9:D44)</f>
        <v>3.1153846153846154</v>
      </c>
      <c r="E45" s="755">
        <f t="shared" ref="E45:M45" si="10">AVERAGE(E9:E44)</f>
        <v>3.7346153846153856</v>
      </c>
      <c r="F45" s="755">
        <f t="shared" si="10"/>
        <v>3.2038461538461545</v>
      </c>
      <c r="G45" s="755">
        <f t="shared" si="10"/>
        <v>3.3692307692307688</v>
      </c>
      <c r="H45" s="755">
        <f t="shared" si="10"/>
        <v>3.28</v>
      </c>
      <c r="I45" s="755">
        <f t="shared" si="10"/>
        <v>11.972222222222221</v>
      </c>
      <c r="J45" s="755">
        <f t="shared" si="10"/>
        <v>3.5833333333333335</v>
      </c>
      <c r="K45" s="756"/>
      <c r="L45" s="755">
        <f t="shared" si="10"/>
        <v>3.3274999999999997</v>
      </c>
      <c r="M45" s="755" t="e">
        <f t="shared" si="10"/>
        <v>#DIV/0!</v>
      </c>
      <c r="N45" s="604" t="s">
        <v>403</v>
      </c>
      <c r="O45" s="605">
        <f>O49/C47</f>
        <v>0.88461538461538458</v>
      </c>
      <c r="P45" s="605">
        <f>P49/C47</f>
        <v>0.96153846153846156</v>
      </c>
      <c r="Q45" s="605">
        <f>Q49/C47</f>
        <v>0.88461538461538458</v>
      </c>
      <c r="T45" s="13" t="s">
        <v>9</v>
      </c>
      <c r="U45" s="751">
        <f t="shared" ref="U45:AA45" si="11">AVERAGE(U9:U44)</f>
        <v>50.346153846153847</v>
      </c>
      <c r="V45" s="751">
        <f t="shared" si="11"/>
        <v>56.692307692307693</v>
      </c>
      <c r="W45" s="751">
        <f t="shared" si="11"/>
        <v>49.57692307692308</v>
      </c>
      <c r="X45" s="751">
        <f t="shared" si="11"/>
        <v>53.307692307692307</v>
      </c>
      <c r="Y45" s="751">
        <f t="shared" si="11"/>
        <v>53.08</v>
      </c>
      <c r="Z45" s="751">
        <f t="shared" si="11"/>
        <v>188.47222222222223</v>
      </c>
      <c r="AA45" s="751">
        <f t="shared" si="11"/>
        <v>3.5833333333333335</v>
      </c>
      <c r="AB45" s="752"/>
      <c r="AC45" s="751">
        <f>AVERAGE(AC9:AC44)</f>
        <v>52.434615384615391</v>
      </c>
      <c r="AD45" s="757"/>
    </row>
    <row r="46" spans="1:30" ht="19.5" customHeight="1" x14ac:dyDescent="0.25">
      <c r="C46" s="13" t="s">
        <v>10</v>
      </c>
      <c r="D46" s="753" t="str">
        <f>IF(D45="","",IF(D45&gt;4.5,"A-1+",IF(D45&gt;4,"A-1",IF(D45&gt;=4,"A-2",IF(D45&gt;3.4,"B-2",IF(D45&gt;=3,"B-3",IF(D45&gt;2.5,"C-3",IF(D45&gt;=2,"C-4",IF(D45&gt;1.6,"D-4",IF(D45&gt;=1,"D-5",IF(D45&gt;0.5,"E-5",IF(D45&gt;=0,"E-5-"))))))))))))</f>
        <v>B-3</v>
      </c>
      <c r="E46" s="753" t="str">
        <f t="shared" ref="E46:M46" si="12">IF(E45="","",IF(E45&gt;4.5,"A-1+",IF(E45&gt;4,"A-1",IF(E45&gt;=4,"A-2",IF(E45&gt;3.4,"B-2",IF(E45&gt;=3,"B-3",IF(E45&gt;2.5,"C-3",IF(E45&gt;=2,"C-4",IF(E45&gt;1.6,"D-4",IF(E45&gt;=1,"D-5",IF(E45&gt;0.5,"E-5",IF(E45&gt;=0,"E-5-"))))))))))))</f>
        <v>B-2</v>
      </c>
      <c r="F46" s="753" t="str">
        <f t="shared" si="12"/>
        <v>B-3</v>
      </c>
      <c r="G46" s="753" t="str">
        <f t="shared" si="12"/>
        <v>B-3</v>
      </c>
      <c r="H46" s="753" t="str">
        <f t="shared" si="12"/>
        <v>B-3</v>
      </c>
      <c r="I46" s="753" t="str">
        <f t="shared" si="12"/>
        <v>A-1+</v>
      </c>
      <c r="J46" s="753" t="str">
        <f t="shared" si="12"/>
        <v>B-2</v>
      </c>
      <c r="K46" s="754"/>
      <c r="L46" s="753" t="str">
        <f t="shared" si="12"/>
        <v>B-3</v>
      </c>
      <c r="M46" s="753" t="e">
        <f t="shared" si="12"/>
        <v>#DIV/0!</v>
      </c>
      <c r="N46" s="604" t="s">
        <v>404</v>
      </c>
      <c r="O46" s="605">
        <f>O48/C47</f>
        <v>0.38461538461538464</v>
      </c>
      <c r="P46" s="605">
        <f>P48/C47</f>
        <v>0.53846153846153844</v>
      </c>
      <c r="Q46" s="605">
        <f>Q48/C47</f>
        <v>0.30769230769230771</v>
      </c>
      <c r="T46" s="598"/>
      <c r="U46" s="14"/>
      <c r="V46" s="14"/>
      <c r="W46" s="14"/>
      <c r="X46" s="14"/>
      <c r="Y46" s="14"/>
      <c r="Z46" s="14"/>
      <c r="AA46" s="14"/>
      <c r="AB46" s="14"/>
      <c r="AC46" s="14"/>
    </row>
    <row r="47" spans="1:30" x14ac:dyDescent="0.25">
      <c r="C47" s="6">
        <f>BEGINBLAD!$D$41</f>
        <v>26</v>
      </c>
      <c r="N47" s="606" t="s">
        <v>401</v>
      </c>
      <c r="O47" s="606">
        <f>COUNTIF(O9:O44,"1F")</f>
        <v>13</v>
      </c>
      <c r="P47" s="606">
        <f t="shared" ref="P47:Q47" si="13">COUNTIF(P9:P44,"1F")</f>
        <v>11</v>
      </c>
      <c r="Q47" s="606">
        <f t="shared" si="13"/>
        <v>15</v>
      </c>
      <c r="U47" s="184"/>
    </row>
    <row r="48" spans="1:30" x14ac:dyDescent="0.25">
      <c r="C48" s="758" t="s">
        <v>431</v>
      </c>
      <c r="D48" s="759">
        <f>LARGE(D9:D44,D50)</f>
        <v>4.2</v>
      </c>
      <c r="E48" s="759">
        <f t="shared" ref="E48:H48" si="14">LARGE(E9:E44,E50)</f>
        <v>4.5</v>
      </c>
      <c r="F48" s="759">
        <f t="shared" si="14"/>
        <v>4.4000000000000004</v>
      </c>
      <c r="G48" s="759">
        <f t="shared" si="14"/>
        <v>4.7</v>
      </c>
      <c r="H48" s="759">
        <f t="shared" si="14"/>
        <v>4.0999999999999996</v>
      </c>
      <c r="I48" s="184"/>
      <c r="J48" s="184"/>
      <c r="K48" s="184"/>
      <c r="L48" s="675"/>
      <c r="M48" s="675"/>
      <c r="N48" s="606" t="s">
        <v>405</v>
      </c>
      <c r="O48" s="606">
        <f>COUNTIF(O9:O44,"2F/1S")</f>
        <v>10</v>
      </c>
      <c r="P48" s="606">
        <f t="shared" ref="P48:Q48" si="15">COUNTIF(P9:P44,"2F/1S")</f>
        <v>14</v>
      </c>
      <c r="Q48" s="606">
        <f t="shared" si="15"/>
        <v>8</v>
      </c>
      <c r="U48" s="184"/>
    </row>
    <row r="49" spans="3:21" x14ac:dyDescent="0.25">
      <c r="C49" s="758" t="s">
        <v>432</v>
      </c>
      <c r="D49" s="759">
        <f>SMALL(D9:D44,D50)</f>
        <v>2.2999999999999998</v>
      </c>
      <c r="E49" s="759">
        <f t="shared" ref="E49:H49" si="16">SMALL(E9:E44,E50)</f>
        <v>3.3</v>
      </c>
      <c r="F49" s="759">
        <f t="shared" si="16"/>
        <v>2</v>
      </c>
      <c r="G49" s="759">
        <f t="shared" si="16"/>
        <v>2.6</v>
      </c>
      <c r="H49" s="759">
        <f t="shared" si="16"/>
        <v>2.1</v>
      </c>
      <c r="I49" s="184"/>
      <c r="J49" s="184"/>
      <c r="K49" s="184"/>
      <c r="L49" s="675"/>
      <c r="M49" s="675"/>
      <c r="N49" s="675"/>
      <c r="O49" s="675">
        <f>SUM(O47:O48)</f>
        <v>23</v>
      </c>
      <c r="P49" s="675">
        <f t="shared" ref="P49:Q49" si="17">SUM(P47:P48)</f>
        <v>25</v>
      </c>
      <c r="Q49" s="675">
        <f t="shared" si="17"/>
        <v>23</v>
      </c>
      <c r="U49" s="184"/>
    </row>
    <row r="50" spans="3:21" x14ac:dyDescent="0.25">
      <c r="C50" s="760">
        <v>0.25</v>
      </c>
      <c r="D50" s="759">
        <f>D51*0.25</f>
        <v>6.5</v>
      </c>
      <c r="E50" s="759">
        <f t="shared" ref="E50:H50" si="18">E51*0.25</f>
        <v>6.5</v>
      </c>
      <c r="F50" s="759">
        <f t="shared" si="18"/>
        <v>6.5</v>
      </c>
      <c r="G50" s="759">
        <f t="shared" si="18"/>
        <v>6.5</v>
      </c>
      <c r="H50" s="759">
        <f t="shared" si="18"/>
        <v>6.25</v>
      </c>
      <c r="I50" s="184"/>
      <c r="J50" s="184"/>
      <c r="K50" s="184"/>
      <c r="L50" s="675"/>
      <c r="M50" s="675"/>
      <c r="N50" s="675"/>
      <c r="O50" s="675"/>
      <c r="P50" s="675"/>
      <c r="Q50" s="675"/>
      <c r="U50" s="184"/>
    </row>
    <row r="51" spans="3:21" x14ac:dyDescent="0.25">
      <c r="C51" s="760" t="s">
        <v>433</v>
      </c>
      <c r="D51" s="759">
        <f>COUNT(D9:D44)</f>
        <v>26</v>
      </c>
      <c r="E51" s="759">
        <f t="shared" ref="E51:H51" si="19">COUNT(E9:E44)</f>
        <v>26</v>
      </c>
      <c r="F51" s="759">
        <f t="shared" si="19"/>
        <v>26</v>
      </c>
      <c r="G51" s="759">
        <f t="shared" si="19"/>
        <v>26</v>
      </c>
      <c r="H51" s="759">
        <f t="shared" si="19"/>
        <v>25</v>
      </c>
      <c r="I51" s="184"/>
      <c r="J51" s="184"/>
      <c r="K51" s="184"/>
      <c r="L51" s="675"/>
      <c r="M51" s="675"/>
      <c r="N51" s="675"/>
      <c r="O51" s="675"/>
      <c r="P51" s="675"/>
      <c r="Q51" s="675"/>
      <c r="U51" s="184"/>
    </row>
    <row r="52" spans="3:21" x14ac:dyDescent="0.25">
      <c r="C52" s="761"/>
      <c r="D52" s="762"/>
      <c r="E52" s="762"/>
      <c r="F52" s="762"/>
      <c r="G52" s="762"/>
      <c r="H52" s="762"/>
      <c r="I52" s="184"/>
      <c r="J52" s="184"/>
      <c r="K52" s="184"/>
      <c r="L52" s="675"/>
      <c r="M52" s="675"/>
      <c r="N52" s="675"/>
      <c r="O52" s="675"/>
      <c r="P52" s="675"/>
      <c r="Q52" s="675"/>
      <c r="U52" s="184"/>
    </row>
    <row r="53" spans="3:21" x14ac:dyDescent="0.25">
      <c r="C53" s="676"/>
      <c r="D53" s="184"/>
      <c r="E53" s="184"/>
      <c r="F53" s="184"/>
      <c r="G53" s="184"/>
      <c r="H53" s="184"/>
      <c r="I53" s="184"/>
      <c r="J53" s="184"/>
      <c r="K53" s="184"/>
      <c r="N53" s="184"/>
      <c r="O53" s="184"/>
      <c r="P53" s="184"/>
      <c r="Q53" s="184"/>
      <c r="U53" s="184"/>
    </row>
    <row r="54" spans="3:21" x14ac:dyDescent="0.25">
      <c r="C54" s="676"/>
      <c r="D54" s="184"/>
      <c r="E54" s="184"/>
      <c r="F54" s="184"/>
      <c r="G54" s="184"/>
      <c r="H54" s="184"/>
      <c r="I54" s="184"/>
      <c r="J54" s="184"/>
      <c r="K54" s="184"/>
      <c r="N54" s="184"/>
      <c r="O54" s="184"/>
      <c r="P54" s="184"/>
      <c r="Q54" s="184"/>
      <c r="U54" s="184"/>
    </row>
    <row r="55" spans="3:21" x14ac:dyDescent="0.25">
      <c r="C55" s="676"/>
      <c r="D55" s="184"/>
      <c r="E55" s="184"/>
      <c r="F55" s="184"/>
      <c r="G55" s="184"/>
      <c r="H55" s="184"/>
      <c r="I55" s="184"/>
      <c r="J55" s="184"/>
      <c r="K55" s="184"/>
      <c r="N55" s="184"/>
      <c r="O55" s="184"/>
      <c r="P55" s="184"/>
      <c r="Q55" s="184"/>
      <c r="U55" s="184"/>
    </row>
    <row r="56" spans="3:21" x14ac:dyDescent="0.25">
      <c r="C56" s="676"/>
      <c r="D56" s="184"/>
      <c r="E56" s="184"/>
      <c r="F56" s="184"/>
      <c r="G56" s="184"/>
      <c r="H56" s="184"/>
      <c r="I56" s="184"/>
      <c r="J56" s="184"/>
      <c r="K56" s="184"/>
      <c r="N56" s="184"/>
      <c r="O56" s="184"/>
      <c r="P56" s="184"/>
      <c r="Q56" s="184"/>
      <c r="U56" s="184"/>
    </row>
    <row r="57" spans="3:21" x14ac:dyDescent="0.25">
      <c r="C57" s="676"/>
      <c r="D57" s="184"/>
      <c r="E57" s="184"/>
      <c r="F57" s="184"/>
      <c r="G57" s="184"/>
      <c r="H57" s="184"/>
      <c r="I57" s="184"/>
      <c r="J57" s="184"/>
      <c r="K57" s="184"/>
      <c r="N57" s="184"/>
      <c r="O57" s="184"/>
      <c r="P57" s="184"/>
      <c r="Q57" s="184"/>
      <c r="U57" s="184"/>
    </row>
    <row r="58" spans="3:21" x14ac:dyDescent="0.25">
      <c r="C58" s="676"/>
      <c r="D58" s="184"/>
      <c r="E58" s="184"/>
      <c r="F58" s="184"/>
      <c r="G58" s="184"/>
      <c r="H58" s="184"/>
      <c r="I58" s="184"/>
      <c r="J58" s="184"/>
      <c r="K58" s="184"/>
      <c r="N58" s="184"/>
      <c r="O58" s="184"/>
      <c r="P58" s="184"/>
      <c r="Q58" s="184"/>
      <c r="U58" s="184"/>
    </row>
    <row r="59" spans="3:21" x14ac:dyDescent="0.25">
      <c r="C59" s="676"/>
      <c r="D59" s="184"/>
      <c r="E59" s="184"/>
      <c r="F59" s="184"/>
      <c r="G59" s="184"/>
      <c r="H59" s="184"/>
      <c r="I59" s="184"/>
      <c r="J59" s="184"/>
      <c r="K59" s="184"/>
      <c r="U59" s="184"/>
    </row>
    <row r="60" spans="3:21" x14ac:dyDescent="0.25">
      <c r="C60" s="676"/>
      <c r="D60" s="184"/>
      <c r="E60" s="184"/>
      <c r="F60" s="184"/>
      <c r="G60" s="184"/>
      <c r="H60" s="184"/>
      <c r="I60" s="184"/>
      <c r="J60" s="184"/>
      <c r="K60" s="184"/>
    </row>
    <row r="61" spans="3:21" x14ac:dyDescent="0.25">
      <c r="C61" s="676"/>
      <c r="D61" s="184"/>
      <c r="E61" s="184"/>
      <c r="F61" s="184"/>
      <c r="G61" s="184"/>
      <c r="H61" s="184"/>
      <c r="I61" s="184"/>
      <c r="J61" s="184"/>
      <c r="K61" s="184"/>
    </row>
  </sheetData>
  <sheetProtection sheet="1" objects="1" scenarios="1"/>
  <mergeCells count="2">
    <mergeCell ref="D2:H2"/>
    <mergeCell ref="O2:Q6"/>
  </mergeCells>
  <phoneticPr fontId="7" type="noConversion"/>
  <conditionalFormatting sqref="C9:C44">
    <cfRule type="expression" dxfId="1705" priority="2170" stopIfTrue="1">
      <formula>$M9=""</formula>
    </cfRule>
    <cfRule type="expression" dxfId="1704" priority="2171" stopIfTrue="1">
      <formula>$M9="A+"</formula>
    </cfRule>
  </conditionalFormatting>
  <conditionalFormatting sqref="D41:H44 D39:F40">
    <cfRule type="cellIs" dxfId="1703" priority="2175" stopIfTrue="1" operator="between">
      <formula>0.1</formula>
      <formula>1.9</formula>
    </cfRule>
    <cfRule type="cellIs" dxfId="1702" priority="2176" stopIfTrue="1" operator="between">
      <formula>3</formula>
      <formula>3.9</formula>
    </cfRule>
    <cfRule type="cellIs" dxfId="1701" priority="2177" stopIfTrue="1" operator="between">
      <formula>4</formula>
      <formula>5</formula>
    </cfRule>
  </conditionalFormatting>
  <conditionalFormatting sqref="A8:A44">
    <cfRule type="cellIs" dxfId="1700" priority="2142" operator="greaterThan">
      <formula>0</formula>
    </cfRule>
  </conditionalFormatting>
  <conditionalFormatting sqref="D41:H44 D39:F40">
    <cfRule type="cellIs" dxfId="1699" priority="2099" operator="between">
      <formula>2</formula>
      <formula>2.9</formula>
    </cfRule>
  </conditionalFormatting>
  <conditionalFormatting sqref="D41:H44 D39:F40">
    <cfRule type="cellIs" dxfId="1698" priority="1783" operator="equal">
      <formula>""</formula>
    </cfRule>
  </conditionalFormatting>
  <conditionalFormatting sqref="D38:F38">
    <cfRule type="cellIs" dxfId="1697" priority="1371" stopIfTrue="1" operator="between">
      <formula>0.1</formula>
      <formula>1.9</formula>
    </cfRule>
    <cfRule type="cellIs" dxfId="1696" priority="1372" stopIfTrue="1" operator="between">
      <formula>3</formula>
      <formula>3.9</formula>
    </cfRule>
    <cfRule type="cellIs" dxfId="1695" priority="1373" stopIfTrue="1" operator="between">
      <formula>4</formula>
      <formula>5</formula>
    </cfRule>
  </conditionalFormatting>
  <conditionalFormatting sqref="D38:F38">
    <cfRule type="cellIs" dxfId="1694" priority="1370" operator="between">
      <formula>2</formula>
      <formula>2.9</formula>
    </cfRule>
  </conditionalFormatting>
  <conditionalFormatting sqref="D38:F38">
    <cfRule type="cellIs" dxfId="1693" priority="1369" operator="equal">
      <formula>""</formula>
    </cfRule>
  </conditionalFormatting>
  <conditionalFormatting sqref="D37">
    <cfRule type="cellIs" dxfId="1692" priority="1366" stopIfTrue="1" operator="between">
      <formula>0.1</formula>
      <formula>1.9</formula>
    </cfRule>
    <cfRule type="cellIs" dxfId="1691" priority="1367" stopIfTrue="1" operator="between">
      <formula>3</formula>
      <formula>3.9</formula>
    </cfRule>
    <cfRule type="cellIs" dxfId="1690" priority="1368" stopIfTrue="1" operator="between">
      <formula>4</formula>
      <formula>5</formula>
    </cfRule>
  </conditionalFormatting>
  <conditionalFormatting sqref="D37">
    <cfRule type="cellIs" dxfId="1689" priority="1365" operator="between">
      <formula>2</formula>
      <formula>2.9</formula>
    </cfRule>
  </conditionalFormatting>
  <conditionalFormatting sqref="D36:D37">
    <cfRule type="cellIs" dxfId="1688" priority="1362" stopIfTrue="1" operator="between">
      <formula>0.1</formula>
      <formula>1.9</formula>
    </cfRule>
    <cfRule type="cellIs" dxfId="1687" priority="1363" stopIfTrue="1" operator="between">
      <formula>3</formula>
      <formula>3.9</formula>
    </cfRule>
    <cfRule type="cellIs" dxfId="1686" priority="1364" stopIfTrue="1" operator="between">
      <formula>4</formula>
      <formula>5</formula>
    </cfRule>
  </conditionalFormatting>
  <conditionalFormatting sqref="D36:D37">
    <cfRule type="cellIs" dxfId="1685" priority="1355" operator="between">
      <formula>2</formula>
      <formula>2.9</formula>
    </cfRule>
  </conditionalFormatting>
  <conditionalFormatting sqref="D36:D37">
    <cfRule type="cellIs" dxfId="1684" priority="1332" operator="equal">
      <formula>""</formula>
    </cfRule>
  </conditionalFormatting>
  <conditionalFormatting sqref="E37:F37">
    <cfRule type="cellIs" dxfId="1683" priority="1297" stopIfTrue="1" operator="between">
      <formula>0.1</formula>
      <formula>1.9</formula>
    </cfRule>
    <cfRule type="cellIs" dxfId="1682" priority="1298" stopIfTrue="1" operator="between">
      <formula>3</formula>
      <formula>3.9</formula>
    </cfRule>
    <cfRule type="cellIs" dxfId="1681" priority="1299" stopIfTrue="1" operator="between">
      <formula>4</formula>
      <formula>5</formula>
    </cfRule>
  </conditionalFormatting>
  <conditionalFormatting sqref="E37:F37">
    <cfRule type="cellIs" dxfId="1680" priority="1296" operator="between">
      <formula>2</formula>
      <formula>2.9</formula>
    </cfRule>
  </conditionalFormatting>
  <conditionalFormatting sqref="E36:E37">
    <cfRule type="cellIs" dxfId="1679" priority="1293" stopIfTrue="1" operator="between">
      <formula>0.1</formula>
      <formula>1.9</formula>
    </cfRule>
    <cfRule type="cellIs" dxfId="1678" priority="1294" stopIfTrue="1" operator="between">
      <formula>3</formula>
      <formula>3.9</formula>
    </cfRule>
    <cfRule type="cellIs" dxfId="1677" priority="1295" stopIfTrue="1" operator="between">
      <formula>4</formula>
      <formula>5</formula>
    </cfRule>
  </conditionalFormatting>
  <conditionalFormatting sqref="E36:E37">
    <cfRule type="cellIs" dxfId="1676" priority="1286" operator="between">
      <formula>2</formula>
      <formula>2.9</formula>
    </cfRule>
  </conditionalFormatting>
  <conditionalFormatting sqref="E37:F37 E36">
    <cfRule type="cellIs" dxfId="1675" priority="1251" operator="equal">
      <formula>""</formula>
    </cfRule>
  </conditionalFormatting>
  <conditionalFormatting sqref="F36:F37">
    <cfRule type="cellIs" dxfId="1674" priority="1234" stopIfTrue="1" operator="between">
      <formula>0.1</formula>
      <formula>1.9</formula>
    </cfRule>
    <cfRule type="cellIs" dxfId="1673" priority="1235" stopIfTrue="1" operator="between">
      <formula>3</formula>
      <formula>3.9</formula>
    </cfRule>
    <cfRule type="cellIs" dxfId="1672" priority="1236" stopIfTrue="1" operator="between">
      <formula>4</formula>
      <formula>5</formula>
    </cfRule>
  </conditionalFormatting>
  <conditionalFormatting sqref="F36:F37">
    <cfRule type="cellIs" dxfId="1671" priority="1230" operator="between">
      <formula>2</formula>
      <formula>2.9</formula>
    </cfRule>
  </conditionalFormatting>
  <conditionalFormatting sqref="F36:F37">
    <cfRule type="cellIs" dxfId="1670" priority="1207" operator="equal">
      <formula>""</formula>
    </cfRule>
  </conditionalFormatting>
  <conditionalFormatting sqref="H38:H40">
    <cfRule type="cellIs" dxfId="1669" priority="1133" stopIfTrue="1" operator="between">
      <formula>0.1</formula>
      <formula>1.9</formula>
    </cfRule>
    <cfRule type="cellIs" dxfId="1668" priority="1134" stopIfTrue="1" operator="between">
      <formula>3</formula>
      <formula>3.9</formula>
    </cfRule>
    <cfRule type="cellIs" dxfId="1667" priority="1135" stopIfTrue="1" operator="between">
      <formula>4</formula>
      <formula>5</formula>
    </cfRule>
  </conditionalFormatting>
  <conditionalFormatting sqref="H38:H40">
    <cfRule type="cellIs" dxfId="1666" priority="1132" operator="between">
      <formula>2</formula>
      <formula>2.9</formula>
    </cfRule>
  </conditionalFormatting>
  <conditionalFormatting sqref="H38:H40">
    <cfRule type="cellIs" dxfId="1665" priority="1131" operator="equal">
      <formula>""</formula>
    </cfRule>
  </conditionalFormatting>
  <conditionalFormatting sqref="H37">
    <cfRule type="cellIs" dxfId="1664" priority="1128" stopIfTrue="1" operator="between">
      <formula>0.1</formula>
      <formula>1.9</formula>
    </cfRule>
    <cfRule type="cellIs" dxfId="1663" priority="1129" stopIfTrue="1" operator="between">
      <formula>3</formula>
      <formula>3.9</formula>
    </cfRule>
    <cfRule type="cellIs" dxfId="1662" priority="1130" stopIfTrue="1" operator="between">
      <formula>4</formula>
      <formula>5</formula>
    </cfRule>
  </conditionalFormatting>
  <conditionalFormatting sqref="H37">
    <cfRule type="cellIs" dxfId="1661" priority="1127" operator="between">
      <formula>2</formula>
      <formula>2.9</formula>
    </cfRule>
  </conditionalFormatting>
  <conditionalFormatting sqref="H35:H37">
    <cfRule type="cellIs" dxfId="1660" priority="1124" stopIfTrue="1" operator="between">
      <formula>0.1</formula>
      <formula>1.9</formula>
    </cfRule>
    <cfRule type="cellIs" dxfId="1659" priority="1125" stopIfTrue="1" operator="between">
      <formula>3</formula>
      <formula>3.9</formula>
    </cfRule>
    <cfRule type="cellIs" dxfId="1658" priority="1126" stopIfTrue="1" operator="between">
      <formula>4</formula>
      <formula>5</formula>
    </cfRule>
  </conditionalFormatting>
  <conditionalFormatting sqref="H35:H37">
    <cfRule type="cellIs" dxfId="1657" priority="1120" operator="between">
      <formula>2</formula>
      <formula>2.9</formula>
    </cfRule>
  </conditionalFormatting>
  <conditionalFormatting sqref="H35:H37">
    <cfRule type="cellIs" dxfId="1656" priority="1085" operator="equal">
      <formula>""</formula>
    </cfRule>
  </conditionalFormatting>
  <conditionalFormatting sqref="G37:G40">
    <cfRule type="cellIs" dxfId="1655" priority="1035" stopIfTrue="1" operator="between">
      <formula>0.1</formula>
      <formula>1.9</formula>
    </cfRule>
    <cfRule type="cellIs" dxfId="1654" priority="1036" stopIfTrue="1" operator="between">
      <formula>3</formula>
      <formula>3.9</formula>
    </cfRule>
    <cfRule type="cellIs" dxfId="1653" priority="1037" stopIfTrue="1" operator="between">
      <formula>4</formula>
      <formula>5</formula>
    </cfRule>
  </conditionalFormatting>
  <conditionalFormatting sqref="G37:G40">
    <cfRule type="cellIs" dxfId="1652" priority="1034" operator="between">
      <formula>2</formula>
      <formula>2.9</formula>
    </cfRule>
  </conditionalFormatting>
  <conditionalFormatting sqref="G35:G37">
    <cfRule type="cellIs" dxfId="1651" priority="1031" stopIfTrue="1" operator="between">
      <formula>0.1</formula>
      <formula>1.9</formula>
    </cfRule>
    <cfRule type="cellIs" dxfId="1650" priority="1032" stopIfTrue="1" operator="between">
      <formula>3</formula>
      <formula>3.9</formula>
    </cfRule>
    <cfRule type="cellIs" dxfId="1649" priority="1033" stopIfTrue="1" operator="between">
      <formula>4</formula>
      <formula>5</formula>
    </cfRule>
  </conditionalFormatting>
  <conditionalFormatting sqref="G35:G37">
    <cfRule type="cellIs" dxfId="1648" priority="1024" operator="between">
      <formula>2</formula>
      <formula>2.9</formula>
    </cfRule>
  </conditionalFormatting>
  <conditionalFormatting sqref="G35:G40">
    <cfRule type="cellIs" dxfId="1647" priority="1001" operator="equal">
      <formula>""</formula>
    </cfRule>
  </conditionalFormatting>
  <conditionalFormatting sqref="AD9:AD44">
    <cfRule type="cellIs" dxfId="1646" priority="931" operator="equal">
      <formula>""</formula>
    </cfRule>
    <cfRule type="cellIs" dxfId="1645" priority="932" operator="lessThan">
      <formula>0.9</formula>
    </cfRule>
    <cfRule type="cellIs" dxfId="1644" priority="933" operator="greaterThanOrEqual">
      <formula>1.1</formula>
    </cfRule>
  </conditionalFormatting>
  <conditionalFormatting sqref="T9:T44">
    <cfRule type="expression" dxfId="1643" priority="955" stopIfTrue="1">
      <formula>$M9=""</formula>
    </cfRule>
    <cfRule type="expression" dxfId="1642" priority="956" stopIfTrue="1">
      <formula>$M9="A+"</formula>
    </cfRule>
  </conditionalFormatting>
  <conditionalFormatting sqref="AC9:AC44">
    <cfRule type="cellIs" dxfId="1641" priority="951" stopIfTrue="1" operator="between">
      <formula>0.001</formula>
      <formula>1.999</formula>
    </cfRule>
    <cfRule type="cellIs" dxfId="1640" priority="952" stopIfTrue="1" operator="between">
      <formula>3</formula>
      <formula>3.999</formula>
    </cfRule>
    <cfRule type="cellIs" dxfId="1639" priority="953" stopIfTrue="1" operator="between">
      <formula>4</formula>
      <formula>5</formula>
    </cfRule>
  </conditionalFormatting>
  <conditionalFormatting sqref="U9:U44">
    <cfRule type="expression" dxfId="1638" priority="946">
      <formula>$U9=""</formula>
    </cfRule>
    <cfRule type="expression" dxfId="1637" priority="947">
      <formula>$U9&lt;=$U$4</formula>
    </cfRule>
    <cfRule type="expression" dxfId="1636" priority="948">
      <formula>$U9&gt;=$U$3</formula>
    </cfRule>
  </conditionalFormatting>
  <conditionalFormatting sqref="V9:V44">
    <cfRule type="expression" dxfId="1635" priority="943">
      <formula>$V9=""</formula>
    </cfRule>
    <cfRule type="expression" dxfId="1634" priority="944">
      <formula>$V9&lt;=$V$4</formula>
    </cfRule>
    <cfRule type="expression" dxfId="1633" priority="945">
      <formula>$V9&gt;=$V$3</formula>
    </cfRule>
  </conditionalFormatting>
  <conditionalFormatting sqref="W9:W44">
    <cfRule type="expression" dxfId="1632" priority="940">
      <formula>$W9=""</formula>
    </cfRule>
    <cfRule type="expression" dxfId="1631" priority="941">
      <formula>$W9&lt;=$W$4</formula>
    </cfRule>
    <cfRule type="expression" dxfId="1630" priority="942">
      <formula>$W9&gt;=$W$3</formula>
    </cfRule>
  </conditionalFormatting>
  <conditionalFormatting sqref="X9:X44">
    <cfRule type="expression" dxfId="1629" priority="937">
      <formula>$X9=""</formula>
    </cfRule>
    <cfRule type="expression" dxfId="1628" priority="938">
      <formula>$X9&lt;=$X$4</formula>
    </cfRule>
    <cfRule type="expression" dxfId="1627" priority="939">
      <formula>$X9&gt;=$X$3</formula>
    </cfRule>
  </conditionalFormatting>
  <conditionalFormatting sqref="Y9:Y44">
    <cfRule type="expression" dxfId="1626" priority="934">
      <formula>$Y9=""</formula>
    </cfRule>
    <cfRule type="expression" dxfId="1625" priority="935">
      <formula>$Y9&lt;=$Y$4</formula>
    </cfRule>
    <cfRule type="expression" dxfId="1624" priority="936">
      <formula>$Y9&gt;=$Y$3</formula>
    </cfRule>
  </conditionalFormatting>
  <conditionalFormatting sqref="E31:F35">
    <cfRule type="cellIs" dxfId="1623" priority="571" stopIfTrue="1" operator="between">
      <formula>0.1</formula>
      <formula>1.9</formula>
    </cfRule>
    <cfRule type="cellIs" dxfId="1622" priority="572" stopIfTrue="1" operator="between">
      <formula>3</formula>
      <formula>3.9</formula>
    </cfRule>
    <cfRule type="cellIs" dxfId="1621" priority="573" stopIfTrue="1" operator="between">
      <formula>4</formula>
      <formula>5</formula>
    </cfRule>
  </conditionalFormatting>
  <conditionalFormatting sqref="E30">
    <cfRule type="cellIs" dxfId="1620" priority="568" stopIfTrue="1" operator="between">
      <formula>0.1</formula>
      <formula>1.9</formula>
    </cfRule>
    <cfRule type="cellIs" dxfId="1619" priority="569" stopIfTrue="1" operator="between">
      <formula>3</formula>
      <formula>3.9</formula>
    </cfRule>
    <cfRule type="cellIs" dxfId="1618" priority="570" stopIfTrue="1" operator="between">
      <formula>4</formula>
      <formula>5</formula>
    </cfRule>
  </conditionalFormatting>
  <conditionalFormatting sqref="E30:F34">
    <cfRule type="cellIs" dxfId="1617" priority="565" stopIfTrue="1" operator="between">
      <formula>0.1</formula>
      <formula>1.9</formula>
    </cfRule>
    <cfRule type="cellIs" dxfId="1616" priority="566" stopIfTrue="1" operator="between">
      <formula>3</formula>
      <formula>3.9</formula>
    </cfRule>
    <cfRule type="cellIs" dxfId="1615" priority="567" stopIfTrue="1" operator="between">
      <formula>4</formula>
      <formula>5</formula>
    </cfRule>
  </conditionalFormatting>
  <conditionalFormatting sqref="E30:F35">
    <cfRule type="cellIs" dxfId="1614" priority="564" operator="between">
      <formula>2</formula>
      <formula>2.9</formula>
    </cfRule>
  </conditionalFormatting>
  <conditionalFormatting sqref="D31:D35">
    <cfRule type="cellIs" dxfId="1613" priority="561" stopIfTrue="1" operator="between">
      <formula>0.1</formula>
      <formula>1.9</formula>
    </cfRule>
    <cfRule type="cellIs" dxfId="1612" priority="562" stopIfTrue="1" operator="between">
      <formula>3</formula>
      <formula>3.9</formula>
    </cfRule>
    <cfRule type="cellIs" dxfId="1611" priority="563" stopIfTrue="1" operator="between">
      <formula>4</formula>
      <formula>5</formula>
    </cfRule>
  </conditionalFormatting>
  <conditionalFormatting sqref="D30:D34">
    <cfRule type="cellIs" dxfId="1610" priority="558" stopIfTrue="1" operator="between">
      <formula>0.1</formula>
      <formula>1.9</formula>
    </cfRule>
    <cfRule type="cellIs" dxfId="1609" priority="559" stopIfTrue="1" operator="between">
      <formula>3</formula>
      <formula>3.9</formula>
    </cfRule>
    <cfRule type="cellIs" dxfId="1608" priority="560" stopIfTrue="1" operator="between">
      <formula>4</formula>
      <formula>5</formula>
    </cfRule>
  </conditionalFormatting>
  <conditionalFormatting sqref="D30:D34">
    <cfRule type="cellIs" dxfId="1607" priority="555" stopIfTrue="1" operator="between">
      <formula>0.1</formula>
      <formula>1.9</formula>
    </cfRule>
    <cfRule type="cellIs" dxfId="1606" priority="556" stopIfTrue="1" operator="between">
      <formula>3</formula>
      <formula>3.9</formula>
    </cfRule>
    <cfRule type="cellIs" dxfId="1605" priority="557" stopIfTrue="1" operator="between">
      <formula>4</formula>
      <formula>5</formula>
    </cfRule>
  </conditionalFormatting>
  <conditionalFormatting sqref="D30:D35">
    <cfRule type="cellIs" dxfId="1604" priority="554" operator="between">
      <formula>2</formula>
      <formula>2.9</formula>
    </cfRule>
  </conditionalFormatting>
  <conditionalFormatting sqref="F23:F25 E23:E30">
    <cfRule type="cellIs" dxfId="1603" priority="551" stopIfTrue="1" operator="between">
      <formula>0.1</formula>
      <formula>1.9</formula>
    </cfRule>
    <cfRule type="cellIs" dxfId="1602" priority="552" stopIfTrue="1" operator="between">
      <formula>3</formula>
      <formula>3.9</formula>
    </cfRule>
    <cfRule type="cellIs" dxfId="1601" priority="553" stopIfTrue="1" operator="between">
      <formula>4</formula>
      <formula>5</formula>
    </cfRule>
  </conditionalFormatting>
  <conditionalFormatting sqref="E25:F25">
    <cfRule type="cellIs" dxfId="1600" priority="548" stopIfTrue="1" operator="between">
      <formula>0.1</formula>
      <formula>1.9</formula>
    </cfRule>
    <cfRule type="cellIs" dxfId="1599" priority="549" stopIfTrue="1" operator="between">
      <formula>3</formula>
      <formula>3.9</formula>
    </cfRule>
    <cfRule type="cellIs" dxfId="1598" priority="550" stopIfTrue="1" operator="between">
      <formula>4</formula>
      <formula>5</formula>
    </cfRule>
  </conditionalFormatting>
  <conditionalFormatting sqref="E23:F27 E28">
    <cfRule type="cellIs" dxfId="1597" priority="545" stopIfTrue="1" operator="between">
      <formula>0.1</formula>
      <formula>1.9</formula>
    </cfRule>
    <cfRule type="cellIs" dxfId="1596" priority="546" stopIfTrue="1" operator="between">
      <formula>3</formula>
      <formula>3.9</formula>
    </cfRule>
    <cfRule type="cellIs" dxfId="1595" priority="547" stopIfTrue="1" operator="between">
      <formula>4</formula>
      <formula>5</formula>
    </cfRule>
  </conditionalFormatting>
  <conditionalFormatting sqref="E25:F30">
    <cfRule type="cellIs" dxfId="1594" priority="542" stopIfTrue="1" operator="between">
      <formula>0.1</formula>
      <formula>1.9</formula>
    </cfRule>
    <cfRule type="cellIs" dxfId="1593" priority="543" stopIfTrue="1" operator="between">
      <formula>3</formula>
      <formula>3.9</formula>
    </cfRule>
    <cfRule type="cellIs" dxfId="1592" priority="544" stopIfTrue="1" operator="between">
      <formula>4</formula>
      <formula>5</formula>
    </cfRule>
  </conditionalFormatting>
  <conditionalFormatting sqref="E23:F30">
    <cfRule type="cellIs" dxfId="1591" priority="541" operator="between">
      <formula>2</formula>
      <formula>2.9</formula>
    </cfRule>
  </conditionalFormatting>
  <conditionalFormatting sqref="D23:D30">
    <cfRule type="cellIs" dxfId="1590" priority="538" stopIfTrue="1" operator="between">
      <formula>0.1</formula>
      <formula>1.9</formula>
    </cfRule>
    <cfRule type="cellIs" dxfId="1589" priority="539" stopIfTrue="1" operator="between">
      <formula>3</formula>
      <formula>3.9</formula>
    </cfRule>
    <cfRule type="cellIs" dxfId="1588" priority="540" stopIfTrue="1" operator="between">
      <formula>4</formula>
      <formula>5</formula>
    </cfRule>
  </conditionalFormatting>
  <conditionalFormatting sqref="D25">
    <cfRule type="cellIs" dxfId="1587" priority="535" stopIfTrue="1" operator="between">
      <formula>0.1</formula>
      <formula>1.9</formula>
    </cfRule>
    <cfRule type="cellIs" dxfId="1586" priority="536" stopIfTrue="1" operator="between">
      <formula>3</formula>
      <formula>3.9</formula>
    </cfRule>
    <cfRule type="cellIs" dxfId="1585" priority="537" stopIfTrue="1" operator="between">
      <formula>4</formula>
      <formula>5</formula>
    </cfRule>
  </conditionalFormatting>
  <conditionalFormatting sqref="D23:D27">
    <cfRule type="cellIs" dxfId="1584" priority="532" stopIfTrue="1" operator="between">
      <formula>0.1</formula>
      <formula>1.9</formula>
    </cfRule>
    <cfRule type="cellIs" dxfId="1583" priority="533" stopIfTrue="1" operator="between">
      <formula>3</formula>
      <formula>3.9</formula>
    </cfRule>
    <cfRule type="cellIs" dxfId="1582" priority="534" stopIfTrue="1" operator="between">
      <formula>4</formula>
      <formula>5</formula>
    </cfRule>
  </conditionalFormatting>
  <conditionalFormatting sqref="D25:D30">
    <cfRule type="cellIs" dxfId="1581" priority="529" stopIfTrue="1" operator="between">
      <formula>0.1</formula>
      <formula>1.9</formula>
    </cfRule>
    <cfRule type="cellIs" dxfId="1580" priority="530" stopIfTrue="1" operator="between">
      <formula>3</formula>
      <formula>3.9</formula>
    </cfRule>
    <cfRule type="cellIs" dxfId="1579" priority="531" stopIfTrue="1" operator="between">
      <formula>4</formula>
      <formula>5</formula>
    </cfRule>
  </conditionalFormatting>
  <conditionalFormatting sqref="D23:D30">
    <cfRule type="cellIs" dxfId="1578" priority="528" operator="between">
      <formula>2</formula>
      <formula>2.9</formula>
    </cfRule>
  </conditionalFormatting>
  <conditionalFormatting sqref="E26">
    <cfRule type="cellIs" dxfId="1577" priority="525" stopIfTrue="1" operator="between">
      <formula>0.1</formula>
      <formula>1.9</formula>
    </cfRule>
    <cfRule type="cellIs" dxfId="1576" priority="526" stopIfTrue="1" operator="between">
      <formula>3</formula>
      <formula>3.9</formula>
    </cfRule>
    <cfRule type="cellIs" dxfId="1575" priority="527" stopIfTrue="1" operator="between">
      <formula>4</formula>
      <formula>5</formula>
    </cfRule>
  </conditionalFormatting>
  <conditionalFormatting sqref="E26:F26">
    <cfRule type="cellIs" dxfId="1574" priority="522" stopIfTrue="1" operator="between">
      <formula>0.1</formula>
      <formula>1.9</formula>
    </cfRule>
    <cfRule type="cellIs" dxfId="1573" priority="523" stopIfTrue="1" operator="between">
      <formula>3</formula>
      <formula>3.9</formula>
    </cfRule>
    <cfRule type="cellIs" dxfId="1572" priority="524" stopIfTrue="1" operator="between">
      <formula>4</formula>
      <formula>5</formula>
    </cfRule>
  </conditionalFormatting>
  <conditionalFormatting sqref="D26">
    <cfRule type="cellIs" dxfId="1571" priority="519" stopIfTrue="1" operator="between">
      <formula>0.1</formula>
      <formula>1.9</formula>
    </cfRule>
    <cfRule type="cellIs" dxfId="1570" priority="520" stopIfTrue="1" operator="between">
      <formula>3</formula>
      <formula>3.9</formula>
    </cfRule>
    <cfRule type="cellIs" dxfId="1569" priority="521" stopIfTrue="1" operator="between">
      <formula>4</formula>
      <formula>5</formula>
    </cfRule>
  </conditionalFormatting>
  <conditionalFormatting sqref="E27">
    <cfRule type="cellIs" dxfId="1568" priority="516" stopIfTrue="1" operator="between">
      <formula>0.1</formula>
      <formula>1.9</formula>
    </cfRule>
    <cfRule type="cellIs" dxfId="1567" priority="517" stopIfTrue="1" operator="between">
      <formula>3</formula>
      <formula>3.9</formula>
    </cfRule>
    <cfRule type="cellIs" dxfId="1566" priority="518" stopIfTrue="1" operator="between">
      <formula>4</formula>
      <formula>5</formula>
    </cfRule>
  </conditionalFormatting>
  <conditionalFormatting sqref="E24:F24">
    <cfRule type="cellIs" dxfId="1565" priority="513" stopIfTrue="1" operator="between">
      <formula>0.1</formula>
      <formula>1.9</formula>
    </cfRule>
    <cfRule type="cellIs" dxfId="1564" priority="514" stopIfTrue="1" operator="between">
      <formula>3</formula>
      <formula>3.9</formula>
    </cfRule>
    <cfRule type="cellIs" dxfId="1563" priority="515" stopIfTrue="1" operator="between">
      <formula>4</formula>
      <formula>5</formula>
    </cfRule>
  </conditionalFormatting>
  <conditionalFormatting sqref="D24">
    <cfRule type="cellIs" dxfId="1562" priority="510" stopIfTrue="1" operator="between">
      <formula>0.1</formula>
      <formula>1.9</formula>
    </cfRule>
    <cfRule type="cellIs" dxfId="1561" priority="511" stopIfTrue="1" operator="between">
      <formula>3</formula>
      <formula>3.9</formula>
    </cfRule>
    <cfRule type="cellIs" dxfId="1560" priority="512" stopIfTrue="1" operator="between">
      <formula>4</formula>
      <formula>5</formula>
    </cfRule>
  </conditionalFormatting>
  <conditionalFormatting sqref="E25">
    <cfRule type="cellIs" dxfId="1559" priority="507" stopIfTrue="1" operator="between">
      <formula>0.1</formula>
      <formula>1.9</formula>
    </cfRule>
    <cfRule type="cellIs" dxfId="1558" priority="508" stopIfTrue="1" operator="between">
      <formula>3</formula>
      <formula>3.9</formula>
    </cfRule>
    <cfRule type="cellIs" dxfId="1557" priority="509" stopIfTrue="1" operator="between">
      <formula>4</formula>
      <formula>5</formula>
    </cfRule>
  </conditionalFormatting>
  <conditionalFormatting sqref="E25:F25">
    <cfRule type="cellIs" dxfId="1556" priority="504" stopIfTrue="1" operator="between">
      <formula>0.1</formula>
      <formula>1.9</formula>
    </cfRule>
    <cfRule type="cellIs" dxfId="1555" priority="505" stopIfTrue="1" operator="between">
      <formula>3</formula>
      <formula>3.9</formula>
    </cfRule>
    <cfRule type="cellIs" dxfId="1554" priority="506" stopIfTrue="1" operator="between">
      <formula>4</formula>
      <formula>5</formula>
    </cfRule>
  </conditionalFormatting>
  <conditionalFormatting sqref="D25">
    <cfRule type="cellIs" dxfId="1553" priority="501" stopIfTrue="1" operator="between">
      <formula>0.1</formula>
      <formula>1.9</formula>
    </cfRule>
    <cfRule type="cellIs" dxfId="1552" priority="502" stopIfTrue="1" operator="between">
      <formula>3</formula>
      <formula>3.9</formula>
    </cfRule>
    <cfRule type="cellIs" dxfId="1551" priority="503" stopIfTrue="1" operator="between">
      <formula>4</formula>
      <formula>5</formula>
    </cfRule>
  </conditionalFormatting>
  <conditionalFormatting sqref="E26">
    <cfRule type="cellIs" dxfId="1550" priority="498" stopIfTrue="1" operator="between">
      <formula>0.1</formula>
      <formula>1.9</formula>
    </cfRule>
    <cfRule type="cellIs" dxfId="1549" priority="499" stopIfTrue="1" operator="between">
      <formula>3</formula>
      <formula>3.9</formula>
    </cfRule>
    <cfRule type="cellIs" dxfId="1548" priority="500" stopIfTrue="1" operator="between">
      <formula>4</formula>
      <formula>5</formula>
    </cfRule>
  </conditionalFormatting>
  <conditionalFormatting sqref="D23:F35">
    <cfRule type="cellIs" dxfId="1547" priority="497" operator="equal">
      <formula>""</formula>
    </cfRule>
  </conditionalFormatting>
  <conditionalFormatting sqref="E19:F19">
    <cfRule type="cellIs" dxfId="1546" priority="494" stopIfTrue="1" operator="between">
      <formula>0.1</formula>
      <formula>1.9</formula>
    </cfRule>
    <cfRule type="cellIs" dxfId="1545" priority="495" stopIfTrue="1" operator="between">
      <formula>3</formula>
      <formula>3.9</formula>
    </cfRule>
    <cfRule type="cellIs" dxfId="1544" priority="496" stopIfTrue="1" operator="between">
      <formula>4</formula>
      <formula>5</formula>
    </cfRule>
  </conditionalFormatting>
  <conditionalFormatting sqref="E9:F15 E17:F23">
    <cfRule type="cellIs" dxfId="1543" priority="491" stopIfTrue="1" operator="between">
      <formula>0.1</formula>
      <formula>1.9</formula>
    </cfRule>
    <cfRule type="cellIs" dxfId="1542" priority="492" stopIfTrue="1" operator="between">
      <formula>3</formula>
      <formula>3.9</formula>
    </cfRule>
    <cfRule type="cellIs" dxfId="1541" priority="493" stopIfTrue="1" operator="between">
      <formula>4</formula>
      <formula>5</formula>
    </cfRule>
  </conditionalFormatting>
  <conditionalFormatting sqref="E20:F23">
    <cfRule type="cellIs" dxfId="1540" priority="488" stopIfTrue="1" operator="between">
      <formula>0.1</formula>
      <formula>1.9</formula>
    </cfRule>
    <cfRule type="cellIs" dxfId="1539" priority="489" stopIfTrue="1" operator="between">
      <formula>3</formula>
      <formula>3.9</formula>
    </cfRule>
    <cfRule type="cellIs" dxfId="1538" priority="490" stopIfTrue="1" operator="between">
      <formula>4</formula>
      <formula>5</formula>
    </cfRule>
  </conditionalFormatting>
  <conditionalFormatting sqref="E9:F15 E17:F23">
    <cfRule type="cellIs" dxfId="1537" priority="487" operator="between">
      <formula>2</formula>
      <formula>2.9</formula>
    </cfRule>
  </conditionalFormatting>
  <conditionalFormatting sqref="D19">
    <cfRule type="cellIs" dxfId="1536" priority="484" stopIfTrue="1" operator="between">
      <formula>0.1</formula>
      <formula>1.9</formula>
    </cfRule>
    <cfRule type="cellIs" dxfId="1535" priority="485" stopIfTrue="1" operator="between">
      <formula>3</formula>
      <formula>3.9</formula>
    </cfRule>
    <cfRule type="cellIs" dxfId="1534" priority="486" stopIfTrue="1" operator="between">
      <formula>4</formula>
      <formula>5</formula>
    </cfRule>
  </conditionalFormatting>
  <conditionalFormatting sqref="D9:D15 D17:D23">
    <cfRule type="cellIs" dxfId="1533" priority="481" stopIfTrue="1" operator="between">
      <formula>0.1</formula>
      <formula>1.9</formula>
    </cfRule>
    <cfRule type="cellIs" dxfId="1532" priority="482" stopIfTrue="1" operator="between">
      <formula>3</formula>
      <formula>3.9</formula>
    </cfRule>
    <cfRule type="cellIs" dxfId="1531" priority="483" stopIfTrue="1" operator="between">
      <formula>4</formula>
      <formula>5</formula>
    </cfRule>
  </conditionalFormatting>
  <conditionalFormatting sqref="D20:D23">
    <cfRule type="cellIs" dxfId="1530" priority="478" stopIfTrue="1" operator="between">
      <formula>0.1</formula>
      <formula>1.9</formula>
    </cfRule>
    <cfRule type="cellIs" dxfId="1529" priority="479" stopIfTrue="1" operator="between">
      <formula>3</formula>
      <formula>3.9</formula>
    </cfRule>
    <cfRule type="cellIs" dxfId="1528" priority="480" stopIfTrue="1" operator="between">
      <formula>4</formula>
      <formula>5</formula>
    </cfRule>
  </conditionalFormatting>
  <conditionalFormatting sqref="D9:D15 D17:D23">
    <cfRule type="cellIs" dxfId="1527" priority="477" operator="between">
      <formula>2</formula>
      <formula>2.9</formula>
    </cfRule>
  </conditionalFormatting>
  <conditionalFormatting sqref="E20:F20">
    <cfRule type="cellIs" dxfId="1526" priority="474" stopIfTrue="1" operator="between">
      <formula>0.1</formula>
      <formula>1.9</formula>
    </cfRule>
    <cfRule type="cellIs" dxfId="1525" priority="475" stopIfTrue="1" operator="between">
      <formula>3</formula>
      <formula>3.9</formula>
    </cfRule>
    <cfRule type="cellIs" dxfId="1524" priority="476" stopIfTrue="1" operator="between">
      <formula>4</formula>
      <formula>5</formula>
    </cfRule>
  </conditionalFormatting>
  <conditionalFormatting sqref="D20">
    <cfRule type="cellIs" dxfId="1523" priority="471" stopIfTrue="1" operator="between">
      <formula>0.1</formula>
      <formula>1.9</formula>
    </cfRule>
    <cfRule type="cellIs" dxfId="1522" priority="472" stopIfTrue="1" operator="between">
      <formula>3</formula>
      <formula>3.9</formula>
    </cfRule>
    <cfRule type="cellIs" dxfId="1521" priority="473" stopIfTrue="1" operator="between">
      <formula>4</formula>
      <formula>5</formula>
    </cfRule>
  </conditionalFormatting>
  <conditionalFormatting sqref="D9:F15 D17:F23">
    <cfRule type="cellIs" dxfId="1520" priority="470" operator="equal">
      <formula>""</formula>
    </cfRule>
  </conditionalFormatting>
  <conditionalFormatting sqref="E31">
    <cfRule type="cellIs" dxfId="1519" priority="467" stopIfTrue="1" operator="between">
      <formula>0.1</formula>
      <formula>1.9</formula>
    </cfRule>
    <cfRule type="cellIs" dxfId="1518" priority="468" stopIfTrue="1" operator="between">
      <formula>3</formula>
      <formula>3.9</formula>
    </cfRule>
    <cfRule type="cellIs" dxfId="1517" priority="469" stopIfTrue="1" operator="between">
      <formula>4</formula>
      <formula>5</formula>
    </cfRule>
  </conditionalFormatting>
  <conditionalFormatting sqref="E26:F26">
    <cfRule type="cellIs" dxfId="1516" priority="464" stopIfTrue="1" operator="between">
      <formula>0.1</formula>
      <formula>1.9</formula>
    </cfRule>
    <cfRule type="cellIs" dxfId="1515" priority="465" stopIfTrue="1" operator="between">
      <formula>3</formula>
      <formula>3.9</formula>
    </cfRule>
    <cfRule type="cellIs" dxfId="1514" priority="466" stopIfTrue="1" operator="between">
      <formula>4</formula>
      <formula>5</formula>
    </cfRule>
  </conditionalFormatting>
  <conditionalFormatting sqref="D26">
    <cfRule type="cellIs" dxfId="1513" priority="461" stopIfTrue="1" operator="between">
      <formula>0.1</formula>
      <formula>1.9</formula>
    </cfRule>
    <cfRule type="cellIs" dxfId="1512" priority="462" stopIfTrue="1" operator="between">
      <formula>3</formula>
      <formula>3.9</formula>
    </cfRule>
    <cfRule type="cellIs" dxfId="1511" priority="463" stopIfTrue="1" operator="between">
      <formula>4</formula>
      <formula>5</formula>
    </cfRule>
  </conditionalFormatting>
  <conditionalFormatting sqref="E27">
    <cfRule type="cellIs" dxfId="1510" priority="458" stopIfTrue="1" operator="between">
      <formula>0.1</formula>
      <formula>1.9</formula>
    </cfRule>
    <cfRule type="cellIs" dxfId="1509" priority="459" stopIfTrue="1" operator="between">
      <formula>3</formula>
      <formula>3.9</formula>
    </cfRule>
    <cfRule type="cellIs" dxfId="1508" priority="460" stopIfTrue="1" operator="between">
      <formula>4</formula>
      <formula>5</formula>
    </cfRule>
  </conditionalFormatting>
  <conditionalFormatting sqref="E27:F27">
    <cfRule type="cellIs" dxfId="1507" priority="455" stopIfTrue="1" operator="between">
      <formula>0.1</formula>
      <formula>1.9</formula>
    </cfRule>
    <cfRule type="cellIs" dxfId="1506" priority="456" stopIfTrue="1" operator="between">
      <formula>3</formula>
      <formula>3.9</formula>
    </cfRule>
    <cfRule type="cellIs" dxfId="1505" priority="457" stopIfTrue="1" operator="between">
      <formula>4</formula>
      <formula>5</formula>
    </cfRule>
  </conditionalFormatting>
  <conditionalFormatting sqref="D27">
    <cfRule type="cellIs" dxfId="1504" priority="452" stopIfTrue="1" operator="between">
      <formula>0.1</formula>
      <formula>1.9</formula>
    </cfRule>
    <cfRule type="cellIs" dxfId="1503" priority="453" stopIfTrue="1" operator="between">
      <formula>3</formula>
      <formula>3.9</formula>
    </cfRule>
    <cfRule type="cellIs" dxfId="1502" priority="454" stopIfTrue="1" operator="between">
      <formula>4</formula>
      <formula>5</formula>
    </cfRule>
  </conditionalFormatting>
  <conditionalFormatting sqref="E28">
    <cfRule type="cellIs" dxfId="1501" priority="449" stopIfTrue="1" operator="between">
      <formula>0.1</formula>
      <formula>1.9</formula>
    </cfRule>
    <cfRule type="cellIs" dxfId="1500" priority="450" stopIfTrue="1" operator="between">
      <formula>3</formula>
      <formula>3.9</formula>
    </cfRule>
    <cfRule type="cellIs" dxfId="1499" priority="451" stopIfTrue="1" operator="between">
      <formula>4</formula>
      <formula>5</formula>
    </cfRule>
  </conditionalFormatting>
  <conditionalFormatting sqref="E25:F25">
    <cfRule type="cellIs" dxfId="1498" priority="446" stopIfTrue="1" operator="between">
      <formula>0.1</formula>
      <formula>1.9</formula>
    </cfRule>
    <cfRule type="cellIs" dxfId="1497" priority="447" stopIfTrue="1" operator="between">
      <formula>3</formula>
      <formula>3.9</formula>
    </cfRule>
    <cfRule type="cellIs" dxfId="1496" priority="448" stopIfTrue="1" operator="between">
      <formula>4</formula>
      <formula>5</formula>
    </cfRule>
  </conditionalFormatting>
  <conditionalFormatting sqref="D25">
    <cfRule type="cellIs" dxfId="1495" priority="443" stopIfTrue="1" operator="between">
      <formula>0.1</formula>
      <formula>1.9</formula>
    </cfRule>
    <cfRule type="cellIs" dxfId="1494" priority="444" stopIfTrue="1" operator="between">
      <formula>3</formula>
      <formula>3.9</formula>
    </cfRule>
    <cfRule type="cellIs" dxfId="1493" priority="445" stopIfTrue="1" operator="between">
      <formula>4</formula>
      <formula>5</formula>
    </cfRule>
  </conditionalFormatting>
  <conditionalFormatting sqref="E26">
    <cfRule type="cellIs" dxfId="1492" priority="440" stopIfTrue="1" operator="between">
      <formula>0.1</formula>
      <formula>1.9</formula>
    </cfRule>
    <cfRule type="cellIs" dxfId="1491" priority="441" stopIfTrue="1" operator="between">
      <formula>3</formula>
      <formula>3.9</formula>
    </cfRule>
    <cfRule type="cellIs" dxfId="1490" priority="442" stopIfTrue="1" operator="between">
      <formula>4</formula>
      <formula>5</formula>
    </cfRule>
  </conditionalFormatting>
  <conditionalFormatting sqref="E26:F26">
    <cfRule type="cellIs" dxfId="1489" priority="437" stopIfTrue="1" operator="between">
      <formula>0.1</formula>
      <formula>1.9</formula>
    </cfRule>
    <cfRule type="cellIs" dxfId="1488" priority="438" stopIfTrue="1" operator="between">
      <formula>3</formula>
      <formula>3.9</formula>
    </cfRule>
    <cfRule type="cellIs" dxfId="1487" priority="439" stopIfTrue="1" operator="between">
      <formula>4</formula>
      <formula>5</formula>
    </cfRule>
  </conditionalFormatting>
  <conditionalFormatting sqref="D26">
    <cfRule type="cellIs" dxfId="1486" priority="434" stopIfTrue="1" operator="between">
      <formula>0.1</formula>
      <formula>1.9</formula>
    </cfRule>
    <cfRule type="cellIs" dxfId="1485" priority="435" stopIfTrue="1" operator="between">
      <formula>3</formula>
      <formula>3.9</formula>
    </cfRule>
    <cfRule type="cellIs" dxfId="1484" priority="436" stopIfTrue="1" operator="between">
      <formula>4</formula>
      <formula>5</formula>
    </cfRule>
  </conditionalFormatting>
  <conditionalFormatting sqref="E27">
    <cfRule type="cellIs" dxfId="1483" priority="431" stopIfTrue="1" operator="between">
      <formula>0.1</formula>
      <formula>1.9</formula>
    </cfRule>
    <cfRule type="cellIs" dxfId="1482" priority="432" stopIfTrue="1" operator="between">
      <formula>3</formula>
      <formula>3.9</formula>
    </cfRule>
    <cfRule type="cellIs" dxfId="1481" priority="433" stopIfTrue="1" operator="between">
      <formula>4</formula>
      <formula>5</formula>
    </cfRule>
  </conditionalFormatting>
  <conditionalFormatting sqref="E20:F20">
    <cfRule type="cellIs" dxfId="1480" priority="428" stopIfTrue="1" operator="between">
      <formula>0.1</formula>
      <formula>1.9</formula>
    </cfRule>
    <cfRule type="cellIs" dxfId="1479" priority="429" stopIfTrue="1" operator="between">
      <formula>3</formula>
      <formula>3.9</formula>
    </cfRule>
    <cfRule type="cellIs" dxfId="1478" priority="430" stopIfTrue="1" operator="between">
      <formula>4</formula>
      <formula>5</formula>
    </cfRule>
  </conditionalFormatting>
  <conditionalFormatting sqref="D20">
    <cfRule type="cellIs" dxfId="1477" priority="425" stopIfTrue="1" operator="between">
      <formula>0.1</formula>
      <formula>1.9</formula>
    </cfRule>
    <cfRule type="cellIs" dxfId="1476" priority="426" stopIfTrue="1" operator="between">
      <formula>3</formula>
      <formula>3.9</formula>
    </cfRule>
    <cfRule type="cellIs" dxfId="1475" priority="427" stopIfTrue="1" operator="between">
      <formula>4</formula>
      <formula>5</formula>
    </cfRule>
  </conditionalFormatting>
  <conditionalFormatting sqref="E21:F21">
    <cfRule type="cellIs" dxfId="1474" priority="422" stopIfTrue="1" operator="between">
      <formula>0.1</formula>
      <formula>1.9</formula>
    </cfRule>
    <cfRule type="cellIs" dxfId="1473" priority="423" stopIfTrue="1" operator="between">
      <formula>3</formula>
      <formula>3.9</formula>
    </cfRule>
    <cfRule type="cellIs" dxfId="1472" priority="424" stopIfTrue="1" operator="between">
      <formula>4</formula>
      <formula>5</formula>
    </cfRule>
  </conditionalFormatting>
  <conditionalFormatting sqref="D21">
    <cfRule type="cellIs" dxfId="1471" priority="419" stopIfTrue="1" operator="between">
      <formula>0.1</formula>
      <formula>1.9</formula>
    </cfRule>
    <cfRule type="cellIs" dxfId="1470" priority="420" stopIfTrue="1" operator="between">
      <formula>3</formula>
      <formula>3.9</formula>
    </cfRule>
    <cfRule type="cellIs" dxfId="1469" priority="421" stopIfTrue="1" operator="between">
      <formula>4</formula>
      <formula>5</formula>
    </cfRule>
  </conditionalFormatting>
  <conditionalFormatting sqref="E16:F16">
    <cfRule type="cellIs" dxfId="1468" priority="416" stopIfTrue="1" operator="between">
      <formula>0.1</formula>
      <formula>1.9</formula>
    </cfRule>
    <cfRule type="cellIs" dxfId="1467" priority="417" stopIfTrue="1" operator="between">
      <formula>3</formula>
      <formula>3.9</formula>
    </cfRule>
    <cfRule type="cellIs" dxfId="1466" priority="418" stopIfTrue="1" operator="between">
      <formula>4</formula>
      <formula>5</formula>
    </cfRule>
  </conditionalFormatting>
  <conditionalFormatting sqref="E16:F16">
    <cfRule type="cellIs" dxfId="1465" priority="413" stopIfTrue="1" operator="between">
      <formula>0.1</formula>
      <formula>1.9</formula>
    </cfRule>
    <cfRule type="cellIs" dxfId="1464" priority="414" stopIfTrue="1" operator="between">
      <formula>3</formula>
      <formula>3.9</formula>
    </cfRule>
    <cfRule type="cellIs" dxfId="1463" priority="415" stopIfTrue="1" operator="between">
      <formula>4</formula>
      <formula>5</formula>
    </cfRule>
  </conditionalFormatting>
  <conditionalFormatting sqref="E16:F16">
    <cfRule type="cellIs" dxfId="1462" priority="412" operator="between">
      <formula>2</formula>
      <formula>2.9</formula>
    </cfRule>
  </conditionalFormatting>
  <conditionalFormatting sqref="D16">
    <cfRule type="cellIs" dxfId="1461" priority="409" stopIfTrue="1" operator="between">
      <formula>0.1</formula>
      <formula>1.9</formula>
    </cfRule>
    <cfRule type="cellIs" dxfId="1460" priority="410" stopIfTrue="1" operator="between">
      <formula>3</formula>
      <formula>3.9</formula>
    </cfRule>
    <cfRule type="cellIs" dxfId="1459" priority="411" stopIfTrue="1" operator="between">
      <formula>4</formula>
      <formula>5</formula>
    </cfRule>
  </conditionalFormatting>
  <conditionalFormatting sqref="D16">
    <cfRule type="cellIs" dxfId="1458" priority="406" stopIfTrue="1" operator="between">
      <formula>0.1</formula>
      <formula>1.9</formula>
    </cfRule>
    <cfRule type="cellIs" dxfId="1457" priority="407" stopIfTrue="1" operator="between">
      <formula>3</formula>
      <formula>3.9</formula>
    </cfRule>
    <cfRule type="cellIs" dxfId="1456" priority="408" stopIfTrue="1" operator="between">
      <formula>4</formula>
      <formula>5</formula>
    </cfRule>
  </conditionalFormatting>
  <conditionalFormatting sqref="D16">
    <cfRule type="cellIs" dxfId="1455" priority="405" operator="between">
      <formula>2</formula>
      <formula>2.9</formula>
    </cfRule>
  </conditionalFormatting>
  <conditionalFormatting sqref="D16:F16">
    <cfRule type="cellIs" dxfId="1454" priority="404" operator="equal">
      <formula>""</formula>
    </cfRule>
  </conditionalFormatting>
  <conditionalFormatting sqref="E16:F16">
    <cfRule type="cellIs" dxfId="1453" priority="401" stopIfTrue="1" operator="between">
      <formula>0.1</formula>
      <formula>1.9</formula>
    </cfRule>
    <cfRule type="cellIs" dxfId="1452" priority="402" stopIfTrue="1" operator="between">
      <formula>3</formula>
      <formula>3.9</formula>
    </cfRule>
    <cfRule type="cellIs" dxfId="1451" priority="403" stopIfTrue="1" operator="between">
      <formula>4</formula>
      <formula>5</formula>
    </cfRule>
  </conditionalFormatting>
  <conditionalFormatting sqref="E16:F16">
    <cfRule type="cellIs" dxfId="1450" priority="400" operator="between">
      <formula>2</formula>
      <formula>2.9</formula>
    </cfRule>
  </conditionalFormatting>
  <conditionalFormatting sqref="D16">
    <cfRule type="cellIs" dxfId="1449" priority="397" stopIfTrue="1" operator="between">
      <formula>0.1</formula>
      <formula>1.9</formula>
    </cfRule>
    <cfRule type="cellIs" dxfId="1448" priority="398" stopIfTrue="1" operator="between">
      <formula>3</formula>
      <formula>3.9</formula>
    </cfRule>
    <cfRule type="cellIs" dxfId="1447" priority="399" stopIfTrue="1" operator="between">
      <formula>4</formula>
      <formula>5</formula>
    </cfRule>
  </conditionalFormatting>
  <conditionalFormatting sqref="D16">
    <cfRule type="cellIs" dxfId="1446" priority="396" operator="between">
      <formula>2</formula>
      <formula>2.9</formula>
    </cfRule>
  </conditionalFormatting>
  <conditionalFormatting sqref="D16:F16">
    <cfRule type="cellIs" dxfId="1445" priority="395" operator="equal">
      <formula>""</formula>
    </cfRule>
  </conditionalFormatting>
  <conditionalFormatting sqref="E32">
    <cfRule type="cellIs" dxfId="1444" priority="392" stopIfTrue="1" operator="between">
      <formula>0.1</formula>
      <formula>1.9</formula>
    </cfRule>
    <cfRule type="cellIs" dxfId="1443" priority="393" stopIfTrue="1" operator="between">
      <formula>3</formula>
      <formula>3.9</formula>
    </cfRule>
    <cfRule type="cellIs" dxfId="1442" priority="394" stopIfTrue="1" operator="between">
      <formula>4</formula>
      <formula>5</formula>
    </cfRule>
  </conditionalFormatting>
  <conditionalFormatting sqref="E29">
    <cfRule type="cellIs" dxfId="1441" priority="389" stopIfTrue="1" operator="between">
      <formula>0.1</formula>
      <formula>1.9</formula>
    </cfRule>
    <cfRule type="cellIs" dxfId="1440" priority="390" stopIfTrue="1" operator="between">
      <formula>3</formula>
      <formula>3.9</formula>
    </cfRule>
    <cfRule type="cellIs" dxfId="1439" priority="391" stopIfTrue="1" operator="between">
      <formula>4</formula>
      <formula>5</formula>
    </cfRule>
  </conditionalFormatting>
  <conditionalFormatting sqref="E29:F29">
    <cfRule type="cellIs" dxfId="1438" priority="386" stopIfTrue="1" operator="between">
      <formula>0.1</formula>
      <formula>1.9</formula>
    </cfRule>
    <cfRule type="cellIs" dxfId="1437" priority="387" stopIfTrue="1" operator="between">
      <formula>3</formula>
      <formula>3.9</formula>
    </cfRule>
    <cfRule type="cellIs" dxfId="1436" priority="388" stopIfTrue="1" operator="between">
      <formula>4</formula>
      <formula>5</formula>
    </cfRule>
  </conditionalFormatting>
  <conditionalFormatting sqref="E29:F29">
    <cfRule type="cellIs" dxfId="1435" priority="385" operator="between">
      <formula>2</formula>
      <formula>2.9</formula>
    </cfRule>
  </conditionalFormatting>
  <conditionalFormatting sqref="D29">
    <cfRule type="cellIs" dxfId="1434" priority="382" stopIfTrue="1" operator="between">
      <formula>0.1</formula>
      <formula>1.9</formula>
    </cfRule>
    <cfRule type="cellIs" dxfId="1433" priority="383" stopIfTrue="1" operator="between">
      <formula>3</formula>
      <formula>3.9</formula>
    </cfRule>
    <cfRule type="cellIs" dxfId="1432" priority="384" stopIfTrue="1" operator="between">
      <formula>4</formula>
      <formula>5</formula>
    </cfRule>
  </conditionalFormatting>
  <conditionalFormatting sqref="D29">
    <cfRule type="cellIs" dxfId="1431" priority="379" stopIfTrue="1" operator="between">
      <formula>0.1</formula>
      <formula>1.9</formula>
    </cfRule>
    <cfRule type="cellIs" dxfId="1430" priority="380" stopIfTrue="1" operator="between">
      <formula>3</formula>
      <formula>3.9</formula>
    </cfRule>
    <cfRule type="cellIs" dxfId="1429" priority="381" stopIfTrue="1" operator="between">
      <formula>4</formula>
      <formula>5</formula>
    </cfRule>
  </conditionalFormatting>
  <conditionalFormatting sqref="D29">
    <cfRule type="cellIs" dxfId="1428" priority="378" operator="between">
      <formula>2</formula>
      <formula>2.9</formula>
    </cfRule>
  </conditionalFormatting>
  <conditionalFormatting sqref="E26">
    <cfRule type="cellIs" dxfId="1427" priority="375" stopIfTrue="1" operator="between">
      <formula>0.1</formula>
      <formula>1.9</formula>
    </cfRule>
    <cfRule type="cellIs" dxfId="1426" priority="376" stopIfTrue="1" operator="between">
      <formula>3</formula>
      <formula>3.9</formula>
    </cfRule>
    <cfRule type="cellIs" dxfId="1425" priority="377" stopIfTrue="1" operator="between">
      <formula>4</formula>
      <formula>5</formula>
    </cfRule>
  </conditionalFormatting>
  <conditionalFormatting sqref="E26">
    <cfRule type="cellIs" dxfId="1424" priority="372" stopIfTrue="1" operator="between">
      <formula>0.1</formula>
      <formula>1.9</formula>
    </cfRule>
    <cfRule type="cellIs" dxfId="1423" priority="373" stopIfTrue="1" operator="between">
      <formula>3</formula>
      <formula>3.9</formula>
    </cfRule>
    <cfRule type="cellIs" dxfId="1422" priority="374" stopIfTrue="1" operator="between">
      <formula>4</formula>
      <formula>5</formula>
    </cfRule>
  </conditionalFormatting>
  <conditionalFormatting sqref="E26:F26">
    <cfRule type="cellIs" dxfId="1421" priority="369" stopIfTrue="1" operator="between">
      <formula>0.1</formula>
      <formula>1.9</formula>
    </cfRule>
    <cfRule type="cellIs" dxfId="1420" priority="370" stopIfTrue="1" operator="between">
      <formula>3</formula>
      <formula>3.9</formula>
    </cfRule>
    <cfRule type="cellIs" dxfId="1419" priority="371" stopIfTrue="1" operator="between">
      <formula>4</formula>
      <formula>5</formula>
    </cfRule>
  </conditionalFormatting>
  <conditionalFormatting sqref="D26">
    <cfRule type="cellIs" dxfId="1418" priority="366" stopIfTrue="1" operator="between">
      <formula>0.1</formula>
      <formula>1.9</formula>
    </cfRule>
    <cfRule type="cellIs" dxfId="1417" priority="367" stopIfTrue="1" operator="between">
      <formula>3</formula>
      <formula>3.9</formula>
    </cfRule>
    <cfRule type="cellIs" dxfId="1416" priority="368" stopIfTrue="1" operator="between">
      <formula>4</formula>
      <formula>5</formula>
    </cfRule>
  </conditionalFormatting>
  <conditionalFormatting sqref="E27">
    <cfRule type="cellIs" dxfId="1415" priority="363" stopIfTrue="1" operator="between">
      <formula>0.1</formula>
      <formula>1.9</formula>
    </cfRule>
    <cfRule type="cellIs" dxfId="1414" priority="364" stopIfTrue="1" operator="between">
      <formula>3</formula>
      <formula>3.9</formula>
    </cfRule>
    <cfRule type="cellIs" dxfId="1413" priority="365" stopIfTrue="1" operator="between">
      <formula>4</formula>
      <formula>5</formula>
    </cfRule>
  </conditionalFormatting>
  <conditionalFormatting sqref="E26">
    <cfRule type="cellIs" dxfId="1412" priority="360" stopIfTrue="1" operator="between">
      <formula>0.1</formula>
      <formula>1.9</formula>
    </cfRule>
    <cfRule type="cellIs" dxfId="1411" priority="361" stopIfTrue="1" operator="between">
      <formula>3</formula>
      <formula>3.9</formula>
    </cfRule>
    <cfRule type="cellIs" dxfId="1410" priority="362" stopIfTrue="1" operator="between">
      <formula>4</formula>
      <formula>5</formula>
    </cfRule>
  </conditionalFormatting>
  <conditionalFormatting sqref="E30">
    <cfRule type="cellIs" dxfId="1409" priority="357" stopIfTrue="1" operator="between">
      <formula>0.1</formula>
      <formula>1.9</formula>
    </cfRule>
    <cfRule type="cellIs" dxfId="1408" priority="358" stopIfTrue="1" operator="between">
      <formula>3</formula>
      <formula>3.9</formula>
    </cfRule>
    <cfRule type="cellIs" dxfId="1407" priority="359" stopIfTrue="1" operator="between">
      <formula>4</formula>
      <formula>5</formula>
    </cfRule>
  </conditionalFormatting>
  <conditionalFormatting sqref="G31:H34 H30">
    <cfRule type="cellIs" dxfId="1406" priority="354" stopIfTrue="1" operator="between">
      <formula>0.1</formula>
      <formula>1.9</formula>
    </cfRule>
    <cfRule type="cellIs" dxfId="1405" priority="355" stopIfTrue="1" operator="between">
      <formula>3</formula>
      <formula>3.9</formula>
    </cfRule>
    <cfRule type="cellIs" dxfId="1404" priority="356" stopIfTrue="1" operator="between">
      <formula>4</formula>
      <formula>5</formula>
    </cfRule>
  </conditionalFormatting>
  <conditionalFormatting sqref="G30">
    <cfRule type="cellIs" dxfId="1403" priority="351" stopIfTrue="1" operator="between">
      <formula>0.1</formula>
      <formula>1.9</formula>
    </cfRule>
    <cfRule type="cellIs" dxfId="1402" priority="352" stopIfTrue="1" operator="between">
      <formula>3</formula>
      <formula>3.9</formula>
    </cfRule>
    <cfRule type="cellIs" dxfId="1401" priority="353" stopIfTrue="1" operator="between">
      <formula>4</formula>
      <formula>5</formula>
    </cfRule>
  </conditionalFormatting>
  <conditionalFormatting sqref="G30:H34">
    <cfRule type="cellIs" dxfId="1400" priority="348" stopIfTrue="1" operator="between">
      <formula>0.1</formula>
      <formula>1.9</formula>
    </cfRule>
    <cfRule type="cellIs" dxfId="1399" priority="349" stopIfTrue="1" operator="between">
      <formula>3</formula>
      <formula>3.9</formula>
    </cfRule>
    <cfRule type="cellIs" dxfId="1398" priority="350" stopIfTrue="1" operator="between">
      <formula>4</formula>
      <formula>5</formula>
    </cfRule>
  </conditionalFormatting>
  <conditionalFormatting sqref="G30:H34">
    <cfRule type="cellIs" dxfId="1397" priority="347" operator="between">
      <formula>2</formula>
      <formula>2.9</formula>
    </cfRule>
  </conditionalFormatting>
  <conditionalFormatting sqref="H23:H30">
    <cfRule type="cellIs" dxfId="1396" priority="344" stopIfTrue="1" operator="between">
      <formula>0.1</formula>
      <formula>1.9</formula>
    </cfRule>
    <cfRule type="cellIs" dxfId="1395" priority="345" stopIfTrue="1" operator="between">
      <formula>3</formula>
      <formula>3.9</formula>
    </cfRule>
    <cfRule type="cellIs" dxfId="1394" priority="346" stopIfTrue="1" operator="between">
      <formula>4</formula>
      <formula>5</formula>
    </cfRule>
  </conditionalFormatting>
  <conditionalFormatting sqref="G23:G30">
    <cfRule type="cellIs" dxfId="1393" priority="341" stopIfTrue="1" operator="between">
      <formula>0.1</formula>
      <formula>1.9</formula>
    </cfRule>
    <cfRule type="cellIs" dxfId="1392" priority="342" stopIfTrue="1" operator="between">
      <formula>3</formula>
      <formula>3.9</formula>
    </cfRule>
    <cfRule type="cellIs" dxfId="1391" priority="343" stopIfTrue="1" operator="between">
      <formula>4</formula>
      <formula>5</formula>
    </cfRule>
  </conditionalFormatting>
  <conditionalFormatting sqref="G25:H25">
    <cfRule type="cellIs" dxfId="1390" priority="338" stopIfTrue="1" operator="between">
      <formula>0.1</formula>
      <formula>1.9</formula>
    </cfRule>
    <cfRule type="cellIs" dxfId="1389" priority="339" stopIfTrue="1" operator="between">
      <formula>3</formula>
      <formula>3.9</formula>
    </cfRule>
    <cfRule type="cellIs" dxfId="1388" priority="340" stopIfTrue="1" operator="between">
      <formula>4</formula>
      <formula>5</formula>
    </cfRule>
  </conditionalFormatting>
  <conditionalFormatting sqref="G23:H27 H28">
    <cfRule type="cellIs" dxfId="1387" priority="335" stopIfTrue="1" operator="between">
      <formula>0.1</formula>
      <formula>1.9</formula>
    </cfRule>
    <cfRule type="cellIs" dxfId="1386" priority="336" stopIfTrue="1" operator="between">
      <formula>3</formula>
      <formula>3.9</formula>
    </cfRule>
    <cfRule type="cellIs" dxfId="1385" priority="337" stopIfTrue="1" operator="between">
      <formula>4</formula>
      <formula>5</formula>
    </cfRule>
  </conditionalFormatting>
  <conditionalFormatting sqref="G25:H30">
    <cfRule type="cellIs" dxfId="1384" priority="332" stopIfTrue="1" operator="between">
      <formula>0.1</formula>
      <formula>1.9</formula>
    </cfRule>
    <cfRule type="cellIs" dxfId="1383" priority="333" stopIfTrue="1" operator="between">
      <formula>3</formula>
      <formula>3.9</formula>
    </cfRule>
    <cfRule type="cellIs" dxfId="1382" priority="334" stopIfTrue="1" operator="between">
      <formula>4</formula>
      <formula>5</formula>
    </cfRule>
  </conditionalFormatting>
  <conditionalFormatting sqref="G23:H30">
    <cfRule type="cellIs" dxfId="1381" priority="331" operator="between">
      <formula>2</formula>
      <formula>2.9</formula>
    </cfRule>
  </conditionalFormatting>
  <conditionalFormatting sqref="H26">
    <cfRule type="cellIs" dxfId="1380" priority="328" stopIfTrue="1" operator="between">
      <formula>0.1</formula>
      <formula>1.9</formula>
    </cfRule>
    <cfRule type="cellIs" dxfId="1379" priority="329" stopIfTrue="1" operator="between">
      <formula>3</formula>
      <formula>3.9</formula>
    </cfRule>
    <cfRule type="cellIs" dxfId="1378" priority="330" stopIfTrue="1" operator="between">
      <formula>4</formula>
      <formula>5</formula>
    </cfRule>
  </conditionalFormatting>
  <conditionalFormatting sqref="G26:H26">
    <cfRule type="cellIs" dxfId="1377" priority="325" stopIfTrue="1" operator="between">
      <formula>0.1</formula>
      <formula>1.9</formula>
    </cfRule>
    <cfRule type="cellIs" dxfId="1376" priority="326" stopIfTrue="1" operator="between">
      <formula>3</formula>
      <formula>3.9</formula>
    </cfRule>
    <cfRule type="cellIs" dxfId="1375" priority="327" stopIfTrue="1" operator="between">
      <formula>4</formula>
      <formula>5</formula>
    </cfRule>
  </conditionalFormatting>
  <conditionalFormatting sqref="H27">
    <cfRule type="cellIs" dxfId="1374" priority="322" stopIfTrue="1" operator="between">
      <formula>0.1</formula>
      <formula>1.9</formula>
    </cfRule>
    <cfRule type="cellIs" dxfId="1373" priority="323" stopIfTrue="1" operator="between">
      <formula>3</formula>
      <formula>3.9</formula>
    </cfRule>
    <cfRule type="cellIs" dxfId="1372" priority="324" stopIfTrue="1" operator="between">
      <formula>4</formula>
      <formula>5</formula>
    </cfRule>
  </conditionalFormatting>
  <conditionalFormatting sqref="G24:H24">
    <cfRule type="cellIs" dxfId="1371" priority="319" stopIfTrue="1" operator="between">
      <formula>0.1</formula>
      <formula>1.9</formula>
    </cfRule>
    <cfRule type="cellIs" dxfId="1370" priority="320" stopIfTrue="1" operator="between">
      <formula>3</formula>
      <formula>3.9</formula>
    </cfRule>
    <cfRule type="cellIs" dxfId="1369" priority="321" stopIfTrue="1" operator="between">
      <formula>4</formula>
      <formula>5</formula>
    </cfRule>
  </conditionalFormatting>
  <conditionalFormatting sqref="H25">
    <cfRule type="cellIs" dxfId="1368" priority="316" stopIfTrue="1" operator="between">
      <formula>0.1</formula>
      <formula>1.9</formula>
    </cfRule>
    <cfRule type="cellIs" dxfId="1367" priority="317" stopIfTrue="1" operator="between">
      <formula>3</formula>
      <formula>3.9</formula>
    </cfRule>
    <cfRule type="cellIs" dxfId="1366" priority="318" stopIfTrue="1" operator="between">
      <formula>4</formula>
      <formula>5</formula>
    </cfRule>
  </conditionalFormatting>
  <conditionalFormatting sqref="G25:H25">
    <cfRule type="cellIs" dxfId="1365" priority="313" stopIfTrue="1" operator="between">
      <formula>0.1</formula>
      <formula>1.9</formula>
    </cfRule>
    <cfRule type="cellIs" dxfId="1364" priority="314" stopIfTrue="1" operator="between">
      <formula>3</formula>
      <formula>3.9</formula>
    </cfRule>
    <cfRule type="cellIs" dxfId="1363" priority="315" stopIfTrue="1" operator="between">
      <formula>4</formula>
      <formula>5</formula>
    </cfRule>
  </conditionalFormatting>
  <conditionalFormatting sqref="H26">
    <cfRule type="cellIs" dxfId="1362" priority="310" stopIfTrue="1" operator="between">
      <formula>0.1</formula>
      <formula>1.9</formula>
    </cfRule>
    <cfRule type="cellIs" dxfId="1361" priority="311" stopIfTrue="1" operator="between">
      <formula>3</formula>
      <formula>3.9</formula>
    </cfRule>
    <cfRule type="cellIs" dxfId="1360" priority="312" stopIfTrue="1" operator="between">
      <formula>4</formula>
      <formula>5</formula>
    </cfRule>
  </conditionalFormatting>
  <conditionalFormatting sqref="G23:H34">
    <cfRule type="cellIs" dxfId="1359" priority="309" operator="equal">
      <formula>""</formula>
    </cfRule>
  </conditionalFormatting>
  <conditionalFormatting sqref="H9:H15 H17:H23">
    <cfRule type="cellIs" dxfId="1358" priority="306" stopIfTrue="1" operator="between">
      <formula>0.1</formula>
      <formula>1.9</formula>
    </cfRule>
    <cfRule type="cellIs" dxfId="1357" priority="307" stopIfTrue="1" operator="between">
      <formula>3</formula>
      <formula>3.9</formula>
    </cfRule>
    <cfRule type="cellIs" dxfId="1356" priority="308" stopIfTrue="1" operator="between">
      <formula>4</formula>
      <formula>5</formula>
    </cfRule>
  </conditionalFormatting>
  <conditionalFormatting sqref="G19:H19">
    <cfRule type="cellIs" dxfId="1355" priority="303" stopIfTrue="1" operator="between">
      <formula>0.1</formula>
      <formula>1.9</formula>
    </cfRule>
    <cfRule type="cellIs" dxfId="1354" priority="304" stopIfTrue="1" operator="between">
      <formula>3</formula>
      <formula>3.9</formula>
    </cfRule>
    <cfRule type="cellIs" dxfId="1353" priority="305" stopIfTrue="1" operator="between">
      <formula>4</formula>
      <formula>5</formula>
    </cfRule>
  </conditionalFormatting>
  <conditionalFormatting sqref="G9:H15 G17:G23 H17:H21">
    <cfRule type="cellIs" dxfId="1352" priority="300" stopIfTrue="1" operator="between">
      <formula>0.1</formula>
      <formula>1.9</formula>
    </cfRule>
    <cfRule type="cellIs" dxfId="1351" priority="301" stopIfTrue="1" operator="between">
      <formula>3</formula>
      <formula>3.9</formula>
    </cfRule>
    <cfRule type="cellIs" dxfId="1350" priority="302" stopIfTrue="1" operator="between">
      <formula>4</formula>
      <formula>5</formula>
    </cfRule>
  </conditionalFormatting>
  <conditionalFormatting sqref="G20:H23">
    <cfRule type="cellIs" dxfId="1349" priority="297" stopIfTrue="1" operator="between">
      <formula>0.1</formula>
      <formula>1.9</formula>
    </cfRule>
    <cfRule type="cellIs" dxfId="1348" priority="298" stopIfTrue="1" operator="between">
      <formula>3</formula>
      <formula>3.9</formula>
    </cfRule>
    <cfRule type="cellIs" dxfId="1347" priority="299" stopIfTrue="1" operator="between">
      <formula>4</formula>
      <formula>5</formula>
    </cfRule>
  </conditionalFormatting>
  <conditionalFormatting sqref="G9:H15 G17:H23">
    <cfRule type="cellIs" dxfId="1346" priority="296" operator="between">
      <formula>2</formula>
      <formula>2.9</formula>
    </cfRule>
  </conditionalFormatting>
  <conditionalFormatting sqref="G20:H20">
    <cfRule type="cellIs" dxfId="1345" priority="293" stopIfTrue="1" operator="between">
      <formula>0.1</formula>
      <formula>1.9</formula>
    </cfRule>
    <cfRule type="cellIs" dxfId="1344" priority="294" stopIfTrue="1" operator="between">
      <formula>3</formula>
      <formula>3.9</formula>
    </cfRule>
    <cfRule type="cellIs" dxfId="1343" priority="295" stopIfTrue="1" operator="between">
      <formula>4</formula>
      <formula>5</formula>
    </cfRule>
  </conditionalFormatting>
  <conditionalFormatting sqref="G9:H15 G17:H23">
    <cfRule type="cellIs" dxfId="1342" priority="292" operator="equal">
      <formula>""</formula>
    </cfRule>
  </conditionalFormatting>
  <conditionalFormatting sqref="G31">
    <cfRule type="cellIs" dxfId="1341" priority="289" stopIfTrue="1" operator="between">
      <formula>0.1</formula>
      <formula>1.9</formula>
    </cfRule>
    <cfRule type="cellIs" dxfId="1340" priority="290" stopIfTrue="1" operator="between">
      <formula>3</formula>
      <formula>3.9</formula>
    </cfRule>
    <cfRule type="cellIs" dxfId="1339" priority="291" stopIfTrue="1" operator="between">
      <formula>4</formula>
      <formula>5</formula>
    </cfRule>
  </conditionalFormatting>
  <conditionalFormatting sqref="G26:H26">
    <cfRule type="cellIs" dxfId="1338" priority="286" stopIfTrue="1" operator="between">
      <formula>0.1</formula>
      <formula>1.9</formula>
    </cfRule>
    <cfRule type="cellIs" dxfId="1337" priority="287" stopIfTrue="1" operator="between">
      <formula>3</formula>
      <formula>3.9</formula>
    </cfRule>
    <cfRule type="cellIs" dxfId="1336" priority="288" stopIfTrue="1" operator="between">
      <formula>4</formula>
      <formula>5</formula>
    </cfRule>
  </conditionalFormatting>
  <conditionalFormatting sqref="H27">
    <cfRule type="cellIs" dxfId="1335" priority="283" stopIfTrue="1" operator="between">
      <formula>0.1</formula>
      <formula>1.9</formula>
    </cfRule>
    <cfRule type="cellIs" dxfId="1334" priority="284" stopIfTrue="1" operator="between">
      <formula>3</formula>
      <formula>3.9</formula>
    </cfRule>
    <cfRule type="cellIs" dxfId="1333" priority="285" stopIfTrue="1" operator="between">
      <formula>4</formula>
      <formula>5</formula>
    </cfRule>
  </conditionalFormatting>
  <conditionalFormatting sqref="G27:H27">
    <cfRule type="cellIs" dxfId="1332" priority="280" stopIfTrue="1" operator="between">
      <formula>0.1</formula>
      <formula>1.9</formula>
    </cfRule>
    <cfRule type="cellIs" dxfId="1331" priority="281" stopIfTrue="1" operator="between">
      <formula>3</formula>
      <formula>3.9</formula>
    </cfRule>
    <cfRule type="cellIs" dxfId="1330" priority="282" stopIfTrue="1" operator="between">
      <formula>4</formula>
      <formula>5</formula>
    </cfRule>
  </conditionalFormatting>
  <conditionalFormatting sqref="H28">
    <cfRule type="cellIs" dxfId="1329" priority="277" stopIfTrue="1" operator="between">
      <formula>0.1</formula>
      <formula>1.9</formula>
    </cfRule>
    <cfRule type="cellIs" dxfId="1328" priority="278" stopIfTrue="1" operator="between">
      <formula>3</formula>
      <formula>3.9</formula>
    </cfRule>
    <cfRule type="cellIs" dxfId="1327" priority="279" stopIfTrue="1" operator="between">
      <formula>4</formula>
      <formula>5</formula>
    </cfRule>
  </conditionalFormatting>
  <conditionalFormatting sqref="G25:H25">
    <cfRule type="cellIs" dxfId="1326" priority="274" stopIfTrue="1" operator="between">
      <formula>0.1</formula>
      <formula>1.9</formula>
    </cfRule>
    <cfRule type="cellIs" dxfId="1325" priority="275" stopIfTrue="1" operator="between">
      <formula>3</formula>
      <formula>3.9</formula>
    </cfRule>
    <cfRule type="cellIs" dxfId="1324" priority="276" stopIfTrue="1" operator="between">
      <formula>4</formula>
      <formula>5</formula>
    </cfRule>
  </conditionalFormatting>
  <conditionalFormatting sqref="H26">
    <cfRule type="cellIs" dxfId="1323" priority="271" stopIfTrue="1" operator="between">
      <formula>0.1</formula>
      <formula>1.9</formula>
    </cfRule>
    <cfRule type="cellIs" dxfId="1322" priority="272" stopIfTrue="1" operator="between">
      <formula>3</formula>
      <formula>3.9</formula>
    </cfRule>
    <cfRule type="cellIs" dxfId="1321" priority="273" stopIfTrue="1" operator="between">
      <formula>4</formula>
      <formula>5</formula>
    </cfRule>
  </conditionalFormatting>
  <conditionalFormatting sqref="G26:H26">
    <cfRule type="cellIs" dxfId="1320" priority="268" stopIfTrue="1" operator="between">
      <formula>0.1</formula>
      <formula>1.9</formula>
    </cfRule>
    <cfRule type="cellIs" dxfId="1319" priority="269" stopIfTrue="1" operator="between">
      <formula>3</formula>
      <formula>3.9</formula>
    </cfRule>
    <cfRule type="cellIs" dxfId="1318" priority="270" stopIfTrue="1" operator="between">
      <formula>4</formula>
      <formula>5</formula>
    </cfRule>
  </conditionalFormatting>
  <conditionalFormatting sqref="H27">
    <cfRule type="cellIs" dxfId="1317" priority="265" stopIfTrue="1" operator="between">
      <formula>0.1</formula>
      <formula>1.9</formula>
    </cfRule>
    <cfRule type="cellIs" dxfId="1316" priority="266" stopIfTrue="1" operator="between">
      <formula>3</formula>
      <formula>3.9</formula>
    </cfRule>
    <cfRule type="cellIs" dxfId="1315" priority="267" stopIfTrue="1" operator="between">
      <formula>4</formula>
      <formula>5</formula>
    </cfRule>
  </conditionalFormatting>
  <conditionalFormatting sqref="G20:H20">
    <cfRule type="cellIs" dxfId="1314" priority="262" stopIfTrue="1" operator="between">
      <formula>0.1</formula>
      <formula>1.9</formula>
    </cfRule>
    <cfRule type="cellIs" dxfId="1313" priority="263" stopIfTrue="1" operator="between">
      <formula>3</formula>
      <formula>3.9</formula>
    </cfRule>
    <cfRule type="cellIs" dxfId="1312" priority="264" stopIfTrue="1" operator="between">
      <formula>4</formula>
      <formula>5</formula>
    </cfRule>
  </conditionalFormatting>
  <conditionalFormatting sqref="G21:H21">
    <cfRule type="cellIs" dxfId="1311" priority="259" stopIfTrue="1" operator="between">
      <formula>0.1</formula>
      <formula>1.9</formula>
    </cfRule>
    <cfRule type="cellIs" dxfId="1310" priority="260" stopIfTrue="1" operator="between">
      <formula>3</formula>
      <formula>3.9</formula>
    </cfRule>
    <cfRule type="cellIs" dxfId="1309" priority="261" stopIfTrue="1" operator="between">
      <formula>4</formula>
      <formula>5</formula>
    </cfRule>
  </conditionalFormatting>
  <conditionalFormatting sqref="H16">
    <cfRule type="cellIs" dxfId="1308" priority="256" stopIfTrue="1" operator="between">
      <formula>0.1</formula>
      <formula>1.9</formula>
    </cfRule>
    <cfRule type="cellIs" dxfId="1307" priority="257" stopIfTrue="1" operator="between">
      <formula>3</formula>
      <formula>3.9</formula>
    </cfRule>
    <cfRule type="cellIs" dxfId="1306" priority="258" stopIfTrue="1" operator="between">
      <formula>4</formula>
      <formula>5</formula>
    </cfRule>
  </conditionalFormatting>
  <conditionalFormatting sqref="H16">
    <cfRule type="cellIs" dxfId="1305" priority="253" stopIfTrue="1" operator="between">
      <formula>0.1</formula>
      <formula>1.9</formula>
    </cfRule>
    <cfRule type="cellIs" dxfId="1304" priority="254" stopIfTrue="1" operator="between">
      <formula>3</formula>
      <formula>3.9</formula>
    </cfRule>
    <cfRule type="cellIs" dxfId="1303" priority="255" stopIfTrue="1" operator="between">
      <formula>4</formula>
      <formula>5</formula>
    </cfRule>
  </conditionalFormatting>
  <conditionalFormatting sqref="H16">
    <cfRule type="cellIs" dxfId="1302" priority="252" operator="between">
      <formula>2</formula>
      <formula>2.9</formula>
    </cfRule>
  </conditionalFormatting>
  <conditionalFormatting sqref="H16">
    <cfRule type="cellIs" dxfId="1301" priority="251" operator="equal">
      <formula>""</formula>
    </cfRule>
  </conditionalFormatting>
  <conditionalFormatting sqref="G16">
    <cfRule type="cellIs" dxfId="1300" priority="248" stopIfTrue="1" operator="between">
      <formula>0.1</formula>
      <formula>1.9</formula>
    </cfRule>
    <cfRule type="cellIs" dxfId="1299" priority="249" stopIfTrue="1" operator="between">
      <formula>3</formula>
      <formula>3.9</formula>
    </cfRule>
    <cfRule type="cellIs" dxfId="1298" priority="250" stopIfTrue="1" operator="between">
      <formula>4</formula>
      <formula>5</formula>
    </cfRule>
  </conditionalFormatting>
  <conditionalFormatting sqref="G16">
    <cfRule type="cellIs" dxfId="1297" priority="245" stopIfTrue="1" operator="between">
      <formula>0.1</formula>
      <formula>1.9</formula>
    </cfRule>
    <cfRule type="cellIs" dxfId="1296" priority="246" stopIfTrue="1" operator="between">
      <formula>3</formula>
      <formula>3.9</formula>
    </cfRule>
    <cfRule type="cellIs" dxfId="1295" priority="247" stopIfTrue="1" operator="between">
      <formula>4</formula>
      <formula>5</formula>
    </cfRule>
  </conditionalFormatting>
  <conditionalFormatting sqref="G16">
    <cfRule type="cellIs" dxfId="1294" priority="244" operator="between">
      <formula>2</formula>
      <formula>2.9</formula>
    </cfRule>
  </conditionalFormatting>
  <conditionalFormatting sqref="H16">
    <cfRule type="cellIs" dxfId="1293" priority="241" stopIfTrue="1" operator="between">
      <formula>0.1</formula>
      <formula>1.9</formula>
    </cfRule>
    <cfRule type="cellIs" dxfId="1292" priority="242" stopIfTrue="1" operator="between">
      <formula>3</formula>
      <formula>3.9</formula>
    </cfRule>
    <cfRule type="cellIs" dxfId="1291" priority="243" stopIfTrue="1" operator="between">
      <formula>4</formula>
      <formula>5</formula>
    </cfRule>
  </conditionalFormatting>
  <conditionalFormatting sqref="G16:H16">
    <cfRule type="cellIs" dxfId="1290" priority="238" stopIfTrue="1" operator="between">
      <formula>0.1</formula>
      <formula>1.9</formula>
    </cfRule>
    <cfRule type="cellIs" dxfId="1289" priority="239" stopIfTrue="1" operator="between">
      <formula>3</formula>
      <formula>3.9</formula>
    </cfRule>
    <cfRule type="cellIs" dxfId="1288" priority="240" stopIfTrue="1" operator="between">
      <formula>4</formula>
      <formula>5</formula>
    </cfRule>
  </conditionalFormatting>
  <conditionalFormatting sqref="G16:H16">
    <cfRule type="cellIs" dxfId="1287" priority="237" operator="between">
      <formula>2</formula>
      <formula>2.9</formula>
    </cfRule>
  </conditionalFormatting>
  <conditionalFormatting sqref="G16:H16">
    <cfRule type="cellIs" dxfId="1286" priority="236" operator="equal">
      <formula>""</formula>
    </cfRule>
  </conditionalFormatting>
  <conditionalFormatting sqref="G32">
    <cfRule type="cellIs" dxfId="1285" priority="233" stopIfTrue="1" operator="between">
      <formula>0.1</formula>
      <formula>1.9</formula>
    </cfRule>
    <cfRule type="cellIs" dxfId="1284" priority="234" stopIfTrue="1" operator="between">
      <formula>3</formula>
      <formula>3.9</formula>
    </cfRule>
    <cfRule type="cellIs" dxfId="1283" priority="235" stopIfTrue="1" operator="between">
      <formula>4</formula>
      <formula>5</formula>
    </cfRule>
  </conditionalFormatting>
  <conditionalFormatting sqref="H29">
    <cfRule type="cellIs" dxfId="1282" priority="230" stopIfTrue="1" operator="between">
      <formula>0.1</formula>
      <formula>1.9</formula>
    </cfRule>
    <cfRule type="cellIs" dxfId="1281" priority="231" stopIfTrue="1" operator="between">
      <formula>3</formula>
      <formula>3.9</formula>
    </cfRule>
    <cfRule type="cellIs" dxfId="1280" priority="232" stopIfTrue="1" operator="between">
      <formula>4</formula>
      <formula>5</formula>
    </cfRule>
  </conditionalFormatting>
  <conditionalFormatting sqref="G29">
    <cfRule type="cellIs" dxfId="1279" priority="227" stopIfTrue="1" operator="between">
      <formula>0.1</formula>
      <formula>1.9</formula>
    </cfRule>
    <cfRule type="cellIs" dxfId="1278" priority="228" stopIfTrue="1" operator="between">
      <formula>3</formula>
      <formula>3.9</formula>
    </cfRule>
    <cfRule type="cellIs" dxfId="1277" priority="229" stopIfTrue="1" operator="between">
      <formula>4</formula>
      <formula>5</formula>
    </cfRule>
  </conditionalFormatting>
  <conditionalFormatting sqref="G29:H29">
    <cfRule type="cellIs" dxfId="1276" priority="224" stopIfTrue="1" operator="between">
      <formula>0.1</formula>
      <formula>1.9</formula>
    </cfRule>
    <cfRule type="cellIs" dxfId="1275" priority="225" stopIfTrue="1" operator="between">
      <formula>3</formula>
      <formula>3.9</formula>
    </cfRule>
    <cfRule type="cellIs" dxfId="1274" priority="226" stopIfTrue="1" operator="between">
      <formula>4</formula>
      <formula>5</formula>
    </cfRule>
  </conditionalFormatting>
  <conditionalFormatting sqref="G29:H29">
    <cfRule type="cellIs" dxfId="1273" priority="223" operator="between">
      <formula>2</formula>
      <formula>2.9</formula>
    </cfRule>
  </conditionalFormatting>
  <conditionalFormatting sqref="H26">
    <cfRule type="cellIs" dxfId="1272" priority="220" stopIfTrue="1" operator="between">
      <formula>0.1</formula>
      <formula>1.9</formula>
    </cfRule>
    <cfRule type="cellIs" dxfId="1271" priority="221" stopIfTrue="1" operator="between">
      <formula>3</formula>
      <formula>3.9</formula>
    </cfRule>
    <cfRule type="cellIs" dxfId="1270" priority="222" stopIfTrue="1" operator="between">
      <formula>4</formula>
      <formula>5</formula>
    </cfRule>
  </conditionalFormatting>
  <conditionalFormatting sqref="H26">
    <cfRule type="cellIs" dxfId="1269" priority="217" stopIfTrue="1" operator="between">
      <formula>0.1</formula>
      <formula>1.9</formula>
    </cfRule>
    <cfRule type="cellIs" dxfId="1268" priority="218" stopIfTrue="1" operator="between">
      <formula>3</formula>
      <formula>3.9</formula>
    </cfRule>
    <cfRule type="cellIs" dxfId="1267" priority="219" stopIfTrue="1" operator="between">
      <formula>4</formula>
      <formula>5</formula>
    </cfRule>
  </conditionalFormatting>
  <conditionalFormatting sqref="G26:H26">
    <cfRule type="cellIs" dxfId="1266" priority="214" stopIfTrue="1" operator="between">
      <formula>0.1</formula>
      <formula>1.9</formula>
    </cfRule>
    <cfRule type="cellIs" dxfId="1265" priority="215" stopIfTrue="1" operator="between">
      <formula>3</formula>
      <formula>3.9</formula>
    </cfRule>
    <cfRule type="cellIs" dxfId="1264" priority="216" stopIfTrue="1" operator="between">
      <formula>4</formula>
      <formula>5</formula>
    </cfRule>
  </conditionalFormatting>
  <conditionalFormatting sqref="H27">
    <cfRule type="cellIs" dxfId="1263" priority="211" stopIfTrue="1" operator="between">
      <formula>0.1</formula>
      <formula>1.9</formula>
    </cfRule>
    <cfRule type="cellIs" dxfId="1262" priority="212" stopIfTrue="1" operator="between">
      <formula>3</formula>
      <formula>3.9</formula>
    </cfRule>
    <cfRule type="cellIs" dxfId="1261" priority="213" stopIfTrue="1" operator="between">
      <formula>4</formula>
      <formula>5</formula>
    </cfRule>
  </conditionalFormatting>
  <conditionalFormatting sqref="H26">
    <cfRule type="cellIs" dxfId="1260" priority="208" stopIfTrue="1" operator="between">
      <formula>0.1</formula>
      <formula>1.9</formula>
    </cfRule>
    <cfRule type="cellIs" dxfId="1259" priority="209" stopIfTrue="1" operator="between">
      <formula>3</formula>
      <formula>3.9</formula>
    </cfRule>
    <cfRule type="cellIs" dxfId="1258" priority="210" stopIfTrue="1" operator="between">
      <formula>4</formula>
      <formula>5</formula>
    </cfRule>
  </conditionalFormatting>
  <conditionalFormatting sqref="G30">
    <cfRule type="cellIs" dxfId="1257" priority="205" stopIfTrue="1" operator="between">
      <formula>0.1</formula>
      <formula>1.9</formula>
    </cfRule>
    <cfRule type="cellIs" dxfId="1256" priority="206" stopIfTrue="1" operator="between">
      <formula>3</formula>
      <formula>3.9</formula>
    </cfRule>
    <cfRule type="cellIs" dxfId="1255" priority="207" stopIfTrue="1" operator="between">
      <formula>4</formula>
      <formula>5</formula>
    </cfRule>
  </conditionalFormatting>
  <conditionalFormatting sqref="R8:R44">
    <cfRule type="cellIs" dxfId="1254" priority="204" operator="greaterThan">
      <formula>0</formula>
    </cfRule>
  </conditionalFormatting>
  <conditionalFormatting sqref="O9:Q44">
    <cfRule type="cellIs" dxfId="1253" priority="201" operator="equal">
      <formula>"2F/1S"</formula>
    </cfRule>
    <cfRule type="cellIs" dxfId="1252" priority="202" operator="equal">
      <formula>"1F"</formula>
    </cfRule>
    <cfRule type="cellIs" dxfId="1251" priority="203" operator="equal">
      <formula>"&lt;1F"</formula>
    </cfRule>
  </conditionalFormatting>
  <conditionalFormatting sqref="M9:M44">
    <cfRule type="cellIs" dxfId="1250" priority="46" stopIfTrue="1" operator="between">
      <formula>"D-3"</formula>
      <formula>"E-5"</formula>
    </cfRule>
    <cfRule type="cellIs" dxfId="1249" priority="47" stopIfTrue="1" operator="between">
      <formula>"B-2"</formula>
      <formula>"B-3"</formula>
    </cfRule>
    <cfRule type="cellIs" dxfId="1248" priority="48" stopIfTrue="1" operator="between">
      <formula>"A-1"</formula>
      <formula>"A-2"</formula>
    </cfRule>
  </conditionalFormatting>
  <conditionalFormatting sqref="M9:M44">
    <cfRule type="cellIs" dxfId="1247" priority="44" operator="equal">
      <formula>"E-5-"</formula>
    </cfRule>
    <cfRule type="cellIs" dxfId="1246" priority="45" operator="equal">
      <formula>"A-1+"</formula>
    </cfRule>
  </conditionalFormatting>
  <conditionalFormatting sqref="L9:L44">
    <cfRule type="cellIs" dxfId="1245" priority="38" operator="equal">
      <formula>""</formula>
    </cfRule>
    <cfRule type="cellIs" dxfId="1244" priority="39" operator="between">
      <formula>4</formula>
      <formula>5</formula>
    </cfRule>
    <cfRule type="cellIs" dxfId="1243" priority="40" operator="between">
      <formula>3</formula>
      <formula>4</formula>
    </cfRule>
    <cfRule type="cellIs" dxfId="1242" priority="41" operator="between">
      <formula>2</formula>
      <formula>3</formula>
    </cfRule>
    <cfRule type="cellIs" dxfId="1241" priority="42" operator="between">
      <formula>1</formula>
      <formula>2</formula>
    </cfRule>
    <cfRule type="cellIs" dxfId="1240" priority="43" operator="between">
      <formula>0</formula>
      <formula>1</formula>
    </cfRule>
  </conditionalFormatting>
  <conditionalFormatting sqref="M9:M44">
    <cfRule type="cellIs" dxfId="1239" priority="36" operator="equal">
      <formula>"C-4"</formula>
    </cfRule>
    <cfRule type="cellIs" dxfId="1238" priority="37" operator="equal">
      <formula>"C-3"</formula>
    </cfRule>
  </conditionalFormatting>
  <conditionalFormatting sqref="AC46 U46:Y46">
    <cfRule type="cellIs" dxfId="1237" priority="22" operator="equal">
      <formula>"E-5-"</formula>
    </cfRule>
    <cfRule type="cellIs" dxfId="1236" priority="23" operator="equal">
      <formula>"A-1+"</formula>
    </cfRule>
  </conditionalFormatting>
  <conditionalFormatting sqref="U45:AD45">
    <cfRule type="cellIs" dxfId="1235" priority="14" operator="greaterThan">
      <formula>0</formula>
    </cfRule>
  </conditionalFormatting>
  <conditionalFormatting sqref="D45:J45 L45:M45">
    <cfRule type="cellIs" dxfId="1234" priority="9" stopIfTrue="1" operator="between">
      <formula>4</formula>
      <formula>5</formula>
    </cfRule>
    <cfRule type="cellIs" dxfId="1233" priority="10" stopIfTrue="1" operator="between">
      <formula>3</formula>
      <formula>4</formula>
    </cfRule>
    <cfRule type="cellIs" dxfId="1232" priority="13" stopIfTrue="1" operator="between">
      <formula>0</formula>
      <formula>1</formula>
    </cfRule>
  </conditionalFormatting>
  <conditionalFormatting sqref="D45:J45 L45:M45">
    <cfRule type="cellIs" dxfId="1231" priority="11" operator="between">
      <formula>2</formula>
      <formula>3</formula>
    </cfRule>
  </conditionalFormatting>
  <conditionalFormatting sqref="D45:J45 L45:M45">
    <cfRule type="cellIs" dxfId="1230" priority="1" operator="equal">
      <formula>""</formula>
    </cfRule>
  </conditionalFormatting>
  <conditionalFormatting sqref="D46:J46 L46:M46">
    <cfRule type="cellIs" dxfId="1229" priority="4" stopIfTrue="1" operator="between">
      <formula>"D-3"</formula>
      <formula>"E-5"</formula>
    </cfRule>
    <cfRule type="cellIs" dxfId="1228" priority="5" stopIfTrue="1" operator="between">
      <formula>"B-2"</formula>
      <formula>"B-3"</formula>
    </cfRule>
    <cfRule type="cellIs" dxfId="1227" priority="6" stopIfTrue="1" operator="between">
      <formula>"A-1"</formula>
      <formula>"A-2"</formula>
    </cfRule>
  </conditionalFormatting>
  <conditionalFormatting sqref="D46:J46 L46:M46">
    <cfRule type="cellIs" dxfId="1226" priority="7" operator="equal">
      <formula>"E-5-"</formula>
    </cfRule>
    <cfRule type="cellIs" dxfId="1225" priority="8" operator="equal">
      <formula>"A-1+"</formula>
    </cfRule>
  </conditionalFormatting>
  <conditionalFormatting sqref="D46:J46 L46:M46">
    <cfRule type="cellIs" dxfId="1224" priority="2" operator="equal">
      <formula>"C-4"</formula>
    </cfRule>
    <cfRule type="cellIs" dxfId="1223" priority="3" operator="equal">
      <formula>"C-3"</formula>
    </cfRule>
  </conditionalFormatting>
  <conditionalFormatting sqref="D45:J45 L45:M45">
    <cfRule type="cellIs" dxfId="1222" priority="12" operator="between">
      <formula>1</formula>
      <formula>2</formula>
    </cfRule>
  </conditionalFormatting>
  <dataValidations count="1">
    <dataValidation type="list" allowBlank="1" showInputMessage="1" showErrorMessage="1" sqref="O9:Q44" xr:uid="{C0709104-689D-4F38-9C87-5F5356A0D9D7}">
      <formula1>"1F,2F/1S,"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7"/>
  <sheetViews>
    <sheetView showGridLines="0" showRowColHeaders="0" zoomScaleNormal="100" workbookViewId="0">
      <selection activeCell="R35" sqref="R35"/>
    </sheetView>
  </sheetViews>
  <sheetFormatPr defaultColWidth="9.1796875" defaultRowHeight="12.5" x14ac:dyDescent="0.25"/>
  <cols>
    <col min="1" max="1" width="9.1796875" style="2"/>
    <col min="2" max="2" width="4" style="7" bestFit="1" customWidth="1"/>
    <col min="3" max="3" width="20.7265625" style="6" customWidth="1"/>
    <col min="4" max="8" width="5.7265625" style="3" customWidth="1"/>
    <col min="9" max="10" width="5.7265625" style="3" hidden="1" customWidth="1"/>
    <col min="11" max="13" width="5.7265625" style="3" customWidth="1"/>
    <col min="14" max="17" width="5.7265625" style="599" customWidth="1"/>
    <col min="18" max="18" width="9.1796875" style="2" customWidth="1"/>
    <col min="19" max="19" width="4" style="7" bestFit="1" customWidth="1"/>
    <col min="20" max="20" width="20.7265625" style="6" customWidth="1"/>
    <col min="21" max="25" width="5.7265625" style="3" customWidth="1"/>
    <col min="26" max="27" width="5.7265625" style="3" hidden="1" customWidth="1"/>
    <col min="28" max="30" width="5.7265625" style="3" customWidth="1"/>
    <col min="31" max="16384" width="9.1796875" style="2"/>
  </cols>
  <sheetData>
    <row r="1" spans="1:30" ht="16" thickBot="1" x14ac:dyDescent="0.4">
      <c r="AB1" s="451" t="s">
        <v>276</v>
      </c>
    </row>
    <row r="2" spans="1:30" ht="31.5" thickBot="1" x14ac:dyDescent="0.3">
      <c r="C2" s="448" t="s">
        <v>1</v>
      </c>
      <c r="D2" s="767" t="str">
        <f>BEGINBLAD!$I$3</f>
        <v>groep 7</v>
      </c>
      <c r="E2" s="768"/>
      <c r="F2" s="768"/>
      <c r="G2" s="768"/>
      <c r="H2" s="769"/>
      <c r="O2" s="770" t="s">
        <v>397</v>
      </c>
      <c r="P2" s="771"/>
      <c r="Q2" s="772"/>
      <c r="T2" s="447" t="s">
        <v>274</v>
      </c>
      <c r="U2" s="454"/>
      <c r="V2" s="454">
        <v>56</v>
      </c>
      <c r="W2" s="454">
        <v>56</v>
      </c>
      <c r="X2" s="454">
        <v>56</v>
      </c>
      <c r="Y2" s="454"/>
      <c r="AB2" s="449">
        <f>AVERAGE(U2:AA2)</f>
        <v>56</v>
      </c>
    </row>
    <row r="3" spans="1:30" ht="21.5" hidden="1" x14ac:dyDescent="0.25">
      <c r="C3" s="9"/>
      <c r="D3" s="446"/>
      <c r="E3" s="446"/>
      <c r="F3" s="446"/>
      <c r="G3" s="446"/>
      <c r="H3" s="446"/>
      <c r="O3" s="773"/>
      <c r="P3" s="774"/>
      <c r="Q3" s="775"/>
      <c r="T3" s="442"/>
      <c r="U3" s="446">
        <f>U2+5</f>
        <v>5</v>
      </c>
      <c r="V3" s="446">
        <f t="shared" ref="V3:Y3" si="0">V2+5</f>
        <v>61</v>
      </c>
      <c r="W3" s="446">
        <f t="shared" si="0"/>
        <v>61</v>
      </c>
      <c r="X3" s="446">
        <f t="shared" si="0"/>
        <v>61</v>
      </c>
      <c r="Y3" s="446">
        <f t="shared" si="0"/>
        <v>5</v>
      </c>
    </row>
    <row r="4" spans="1:30" ht="21.5" hidden="1" x14ac:dyDescent="0.25">
      <c r="C4" s="9"/>
      <c r="D4" s="446"/>
      <c r="E4" s="446"/>
      <c r="F4" s="446"/>
      <c r="G4" s="446"/>
      <c r="H4" s="446"/>
      <c r="O4" s="773"/>
      <c r="P4" s="774"/>
      <c r="Q4" s="775"/>
      <c r="T4" s="442"/>
      <c r="U4" s="446">
        <f>U2-5</f>
        <v>-5</v>
      </c>
      <c r="V4" s="446">
        <f t="shared" ref="V4:Y4" si="1">V2-5</f>
        <v>51</v>
      </c>
      <c r="W4" s="446">
        <f t="shared" si="1"/>
        <v>51</v>
      </c>
      <c r="X4" s="446">
        <f t="shared" si="1"/>
        <v>51</v>
      </c>
      <c r="Y4" s="446">
        <f t="shared" si="1"/>
        <v>-5</v>
      </c>
    </row>
    <row r="5" spans="1:30" x14ac:dyDescent="0.25">
      <c r="C5" s="71" t="s">
        <v>273</v>
      </c>
      <c r="O5" s="773"/>
      <c r="P5" s="774"/>
      <c r="Q5" s="775"/>
      <c r="T5" s="71" t="s">
        <v>272</v>
      </c>
    </row>
    <row r="6" spans="1:30" ht="60" customHeight="1" thickBot="1" x14ac:dyDescent="0.4">
      <c r="C6" s="18" t="s">
        <v>11</v>
      </c>
      <c r="D6" s="19"/>
      <c r="E6" s="19"/>
      <c r="F6" s="19"/>
      <c r="G6" s="191"/>
      <c r="H6" s="19"/>
      <c r="O6" s="776"/>
      <c r="P6" s="777"/>
      <c r="Q6" s="778"/>
      <c r="T6" s="18" t="s">
        <v>11</v>
      </c>
      <c r="U6" s="19"/>
      <c r="V6" s="19"/>
      <c r="W6" s="19"/>
      <c r="X6" s="191"/>
      <c r="Y6" s="19"/>
    </row>
    <row r="7" spans="1:30" ht="5.15" customHeight="1" x14ac:dyDescent="0.25">
      <c r="C7" s="8"/>
      <c r="D7" s="16"/>
      <c r="E7" s="17"/>
      <c r="F7" s="17"/>
      <c r="G7" s="17"/>
      <c r="H7" s="17"/>
      <c r="I7" s="15"/>
      <c r="J7" s="15"/>
      <c r="T7" s="8"/>
    </row>
    <row r="8" spans="1:30" ht="102" x14ac:dyDescent="0.25">
      <c r="A8" s="28" t="s">
        <v>2</v>
      </c>
      <c r="B8" s="48"/>
      <c r="C8" s="49" t="s">
        <v>5</v>
      </c>
      <c r="D8" s="192" t="s">
        <v>91</v>
      </c>
      <c r="E8" s="50" t="s">
        <v>8</v>
      </c>
      <c r="F8" s="50" t="s">
        <v>3</v>
      </c>
      <c r="G8" s="50" t="s">
        <v>4</v>
      </c>
      <c r="H8" s="192" t="s">
        <v>101</v>
      </c>
      <c r="I8" s="50" t="s">
        <v>0</v>
      </c>
      <c r="J8" s="50" t="s">
        <v>6</v>
      </c>
      <c r="K8" s="11"/>
      <c r="L8" s="53" t="s">
        <v>9</v>
      </c>
      <c r="M8" s="53" t="s">
        <v>10</v>
      </c>
      <c r="N8" s="600"/>
      <c r="O8" s="601" t="s">
        <v>398</v>
      </c>
      <c r="P8" s="601" t="s">
        <v>399</v>
      </c>
      <c r="Q8" s="601" t="s">
        <v>400</v>
      </c>
      <c r="R8" s="28" t="s">
        <v>2</v>
      </c>
      <c r="S8" s="48"/>
      <c r="T8" s="49" t="s">
        <v>5</v>
      </c>
      <c r="U8" s="192" t="s">
        <v>91</v>
      </c>
      <c r="V8" s="50" t="s">
        <v>8</v>
      </c>
      <c r="W8" s="50" t="s">
        <v>3</v>
      </c>
      <c r="X8" s="50" t="s">
        <v>4</v>
      </c>
      <c r="Y8" s="192" t="s">
        <v>101</v>
      </c>
      <c r="Z8" s="50" t="s">
        <v>0</v>
      </c>
      <c r="AA8" s="50" t="s">
        <v>6</v>
      </c>
      <c r="AB8" s="11"/>
      <c r="AC8" s="53" t="s">
        <v>9</v>
      </c>
      <c r="AD8" s="53" t="s">
        <v>275</v>
      </c>
    </row>
    <row r="9" spans="1:30" s="4" customFormat="1" ht="19.5" customHeight="1" x14ac:dyDescent="0.25">
      <c r="A9" s="26">
        <f>BEGINBLAD!D5</f>
        <v>0</v>
      </c>
      <c r="B9" s="51">
        <v>1</v>
      </c>
      <c r="C9" s="52" t="str">
        <f>BEGINBLAD!C5</f>
        <v>leerling 1</v>
      </c>
      <c r="D9" s="40"/>
      <c r="E9" s="40">
        <v>2.8</v>
      </c>
      <c r="F9" s="40">
        <v>2.8</v>
      </c>
      <c r="G9" s="42">
        <v>2.2999999999999998</v>
      </c>
      <c r="H9" s="42"/>
      <c r="I9" s="450">
        <f t="shared" ref="I9:I44" si="2">SUM(D9:H9)</f>
        <v>7.8999999999999995</v>
      </c>
      <c r="J9" s="450">
        <f t="shared" ref="J9:J44" si="3">COUNTA(D9:H9)</f>
        <v>3</v>
      </c>
      <c r="K9" s="12"/>
      <c r="L9" s="747">
        <f>IF(J9=0,"",IF(J9&gt;0,AVERAGE(D9:H9)))</f>
        <v>2.6333333333333333</v>
      </c>
      <c r="M9" s="54" t="str">
        <f>IF(L9="","",IF(L9&gt;4.5,"A-1+",IF(L9&gt;4.2,"A-1",IF(L9&gt;=4,"A-2",IF(L9&gt;3.3,"B-2",IF(L9&gt;=3,"B-3",IF(L9&gt;2.4,"C-3",IF(L9&gt;=2,"C-4",IF(L9&gt;1.5,"D-4",IF(L9&gt;=1,"D-5",IF(L9&gt;0.5,"E-5",IF(L9&gt;=0,"E-5-"))))))))))))</f>
        <v>C-3</v>
      </c>
      <c r="N9" s="602"/>
      <c r="O9" s="603" t="s">
        <v>401</v>
      </c>
      <c r="P9" s="603" t="s">
        <v>401</v>
      </c>
      <c r="Q9" s="603" t="s">
        <v>401</v>
      </c>
      <c r="R9" s="26">
        <f>BEGINBLAD!D5</f>
        <v>0</v>
      </c>
      <c r="S9" s="51">
        <v>1</v>
      </c>
      <c r="T9" s="52" t="str">
        <f>BEGINBLAD!C5</f>
        <v>leerling 1</v>
      </c>
      <c r="U9" s="443"/>
      <c r="V9" s="443"/>
      <c r="W9" s="443"/>
      <c r="X9" s="443"/>
      <c r="Y9" s="443"/>
      <c r="Z9" s="450">
        <f t="shared" ref="Z9:Z44" si="4">SUM(U9:Y9)</f>
        <v>0</v>
      </c>
      <c r="AA9" s="450">
        <f t="shared" ref="AA9:AA44" si="5">COUNTA(U9:Y9)</f>
        <v>0</v>
      </c>
      <c r="AB9" s="12"/>
      <c r="AC9" s="453" t="str">
        <f t="shared" ref="AC9:AC44" si="6">IF(AA9=0,"",IF(AA9&gt;0,Z9/AA9))</f>
        <v/>
      </c>
      <c r="AD9" s="452" t="str">
        <f>IF(AA9=0,"",IF(AA9&gt;0,AC9/AB$2))</f>
        <v/>
      </c>
    </row>
    <row r="10" spans="1:30" ht="19.5" customHeight="1" x14ac:dyDescent="0.25">
      <c r="A10" s="27">
        <f>BEGINBLAD!D6</f>
        <v>0</v>
      </c>
      <c r="B10" s="51">
        <v>2</v>
      </c>
      <c r="C10" s="52" t="str">
        <f>BEGINBLAD!C6</f>
        <v>leerling 2</v>
      </c>
      <c r="D10" s="43"/>
      <c r="E10" s="43">
        <v>5</v>
      </c>
      <c r="F10" s="43">
        <v>3.1</v>
      </c>
      <c r="G10" s="42">
        <v>2.6</v>
      </c>
      <c r="H10" s="42"/>
      <c r="I10" s="450">
        <f t="shared" si="2"/>
        <v>10.7</v>
      </c>
      <c r="J10" s="450">
        <f t="shared" si="3"/>
        <v>3</v>
      </c>
      <c r="K10" s="12"/>
      <c r="L10" s="747">
        <f t="shared" ref="L10:L44" si="7">IF(J10=0,"",IF(J10&gt;0,AVERAGE(D10:H10)))</f>
        <v>3.5666666666666664</v>
      </c>
      <c r="M10" s="54" t="str">
        <f t="shared" ref="M10:M44" si="8">IF(L10="","",IF(L10&gt;4.5,"A-1+",IF(L10&gt;4.2,"A-1",IF(L10&gt;=4,"A-2",IF(L10&gt;3.3,"B-2",IF(L10&gt;=3,"B-3",IF(L10&gt;2.4,"C-3",IF(L10&gt;=2,"C-4",IF(L10&gt;1.5,"D-4",IF(L10&gt;=1,"D-5",IF(L10&gt;0.5,"E-5",IF(L10&gt;=0,"E-5-"))))))))))))</f>
        <v>B-2</v>
      </c>
      <c r="N10" s="602"/>
      <c r="O10" s="603" t="s">
        <v>401</v>
      </c>
      <c r="P10" s="603" t="s">
        <v>402</v>
      </c>
      <c r="Q10" s="603"/>
      <c r="R10" s="26">
        <f>BEGINBLAD!D6</f>
        <v>0</v>
      </c>
      <c r="S10" s="51">
        <v>2</v>
      </c>
      <c r="T10" s="52" t="str">
        <f>BEGINBLAD!C6</f>
        <v>leerling 2</v>
      </c>
      <c r="U10" s="443"/>
      <c r="V10" s="443"/>
      <c r="W10" s="443"/>
      <c r="X10" s="443"/>
      <c r="Y10" s="443"/>
      <c r="Z10" s="450">
        <f t="shared" si="4"/>
        <v>0</v>
      </c>
      <c r="AA10" s="450">
        <f t="shared" si="5"/>
        <v>0</v>
      </c>
      <c r="AB10" s="12"/>
      <c r="AC10" s="453" t="str">
        <f t="shared" si="6"/>
        <v/>
      </c>
      <c r="AD10" s="452" t="str">
        <f t="shared" ref="AD10:AD44" si="9">IF(AA10=0,"",IF(AA10&gt;0,AC10/AB$2))</f>
        <v/>
      </c>
    </row>
    <row r="11" spans="1:30" s="4" customFormat="1" ht="19.5" customHeight="1" x14ac:dyDescent="0.25">
      <c r="A11" s="26">
        <f>BEGINBLAD!D7</f>
        <v>0</v>
      </c>
      <c r="B11" s="51">
        <v>3</v>
      </c>
      <c r="C11" s="52" t="str">
        <f>BEGINBLAD!C7</f>
        <v>leerling 3</v>
      </c>
      <c r="D11" s="40"/>
      <c r="E11" s="40">
        <v>4.4000000000000004</v>
      </c>
      <c r="F11" s="40">
        <v>4.4000000000000004</v>
      </c>
      <c r="G11" s="40">
        <v>4.8</v>
      </c>
      <c r="H11" s="42"/>
      <c r="I11" s="450">
        <f t="shared" si="2"/>
        <v>13.600000000000001</v>
      </c>
      <c r="J11" s="450">
        <f t="shared" si="3"/>
        <v>3</v>
      </c>
      <c r="K11" s="12"/>
      <c r="L11" s="747">
        <f t="shared" si="7"/>
        <v>4.5333333333333341</v>
      </c>
      <c r="M11" s="54" t="str">
        <f t="shared" si="8"/>
        <v>A-1+</v>
      </c>
      <c r="N11" s="602"/>
      <c r="O11" s="603" t="s">
        <v>402</v>
      </c>
      <c r="P11" s="603" t="s">
        <v>402</v>
      </c>
      <c r="Q11" s="603" t="s">
        <v>402</v>
      </c>
      <c r="R11" s="26">
        <f>BEGINBLAD!D7</f>
        <v>0</v>
      </c>
      <c r="S11" s="51">
        <v>3</v>
      </c>
      <c r="T11" s="52" t="str">
        <f>BEGINBLAD!C7</f>
        <v>leerling 3</v>
      </c>
      <c r="U11" s="443"/>
      <c r="V11" s="443"/>
      <c r="W11" s="443"/>
      <c r="X11" s="443"/>
      <c r="Y11" s="443"/>
      <c r="Z11" s="450">
        <f t="shared" si="4"/>
        <v>0</v>
      </c>
      <c r="AA11" s="450">
        <f t="shared" si="5"/>
        <v>0</v>
      </c>
      <c r="AB11" s="12"/>
      <c r="AC11" s="453" t="str">
        <f t="shared" si="6"/>
        <v/>
      </c>
      <c r="AD11" s="452" t="str">
        <f t="shared" si="9"/>
        <v/>
      </c>
    </row>
    <row r="12" spans="1:30" ht="19.5" customHeight="1" x14ac:dyDescent="0.25">
      <c r="A12" s="27">
        <f>BEGINBLAD!D8</f>
        <v>0</v>
      </c>
      <c r="B12" s="51">
        <v>4</v>
      </c>
      <c r="C12" s="52" t="str">
        <f>BEGINBLAD!C8</f>
        <v>leerling 4</v>
      </c>
      <c r="D12" s="42"/>
      <c r="E12" s="40">
        <v>4.9000000000000004</v>
      </c>
      <c r="F12" s="42">
        <v>3.9</v>
      </c>
      <c r="G12" s="40">
        <v>5</v>
      </c>
      <c r="H12" s="43"/>
      <c r="I12" s="450">
        <f t="shared" si="2"/>
        <v>13.8</v>
      </c>
      <c r="J12" s="450">
        <f t="shared" si="3"/>
        <v>3</v>
      </c>
      <c r="K12" s="12"/>
      <c r="L12" s="747">
        <f t="shared" si="7"/>
        <v>4.6000000000000005</v>
      </c>
      <c r="M12" s="54" t="str">
        <f t="shared" si="8"/>
        <v>A-1+</v>
      </c>
      <c r="N12" s="602"/>
      <c r="O12" s="603" t="s">
        <v>402</v>
      </c>
      <c r="P12" s="603" t="s">
        <v>402</v>
      </c>
      <c r="Q12" s="603" t="s">
        <v>402</v>
      </c>
      <c r="R12" s="26">
        <f>BEGINBLAD!D8</f>
        <v>0</v>
      </c>
      <c r="S12" s="51">
        <v>4</v>
      </c>
      <c r="T12" s="52" t="str">
        <f>BEGINBLAD!C8</f>
        <v>leerling 4</v>
      </c>
      <c r="U12" s="443"/>
      <c r="V12" s="443"/>
      <c r="W12" s="443"/>
      <c r="X12" s="443"/>
      <c r="Y12" s="443"/>
      <c r="Z12" s="450">
        <f t="shared" si="4"/>
        <v>0</v>
      </c>
      <c r="AA12" s="450">
        <f t="shared" si="5"/>
        <v>0</v>
      </c>
      <c r="AB12" s="12"/>
      <c r="AC12" s="453" t="str">
        <f t="shared" si="6"/>
        <v/>
      </c>
      <c r="AD12" s="452" t="str">
        <f t="shared" si="9"/>
        <v/>
      </c>
    </row>
    <row r="13" spans="1:30" s="4" customFormat="1" ht="19.5" customHeight="1" x14ac:dyDescent="0.25">
      <c r="A13" s="26">
        <f>BEGINBLAD!D9</f>
        <v>0</v>
      </c>
      <c r="B13" s="51">
        <v>5</v>
      </c>
      <c r="C13" s="52" t="str">
        <f>BEGINBLAD!C9</f>
        <v>leerling 5</v>
      </c>
      <c r="D13" s="42"/>
      <c r="E13" s="40">
        <v>5</v>
      </c>
      <c r="F13" s="42">
        <v>3.6</v>
      </c>
      <c r="G13" s="40">
        <v>4.3</v>
      </c>
      <c r="H13" s="40"/>
      <c r="I13" s="450">
        <f t="shared" si="2"/>
        <v>12.899999999999999</v>
      </c>
      <c r="J13" s="450">
        <f t="shared" si="3"/>
        <v>3</v>
      </c>
      <c r="K13" s="12"/>
      <c r="L13" s="747">
        <f t="shared" si="7"/>
        <v>4.3</v>
      </c>
      <c r="M13" s="54" t="str">
        <f t="shared" si="8"/>
        <v>A-1</v>
      </c>
      <c r="N13" s="602"/>
      <c r="O13" s="603" t="s">
        <v>402</v>
      </c>
      <c r="P13" s="603" t="s">
        <v>402</v>
      </c>
      <c r="Q13" s="603" t="s">
        <v>402</v>
      </c>
      <c r="R13" s="26">
        <f>BEGINBLAD!D9</f>
        <v>0</v>
      </c>
      <c r="S13" s="51">
        <v>5</v>
      </c>
      <c r="T13" s="52" t="str">
        <f>BEGINBLAD!C9</f>
        <v>leerling 5</v>
      </c>
      <c r="U13" s="443"/>
      <c r="V13" s="443"/>
      <c r="W13" s="443"/>
      <c r="X13" s="443"/>
      <c r="Y13" s="443"/>
      <c r="Z13" s="450">
        <f t="shared" si="4"/>
        <v>0</v>
      </c>
      <c r="AA13" s="450">
        <f t="shared" si="5"/>
        <v>0</v>
      </c>
      <c r="AB13" s="12"/>
      <c r="AC13" s="453" t="str">
        <f t="shared" si="6"/>
        <v/>
      </c>
      <c r="AD13" s="452" t="str">
        <f t="shared" si="9"/>
        <v/>
      </c>
    </row>
    <row r="14" spans="1:30" ht="19.5" customHeight="1" x14ac:dyDescent="0.25">
      <c r="A14" s="27">
        <f>BEGINBLAD!D10</f>
        <v>0</v>
      </c>
      <c r="B14" s="51">
        <v>6</v>
      </c>
      <c r="C14" s="52" t="str">
        <f>BEGINBLAD!C10</f>
        <v>leerling 6</v>
      </c>
      <c r="D14" s="41"/>
      <c r="E14" s="43">
        <v>2.8</v>
      </c>
      <c r="F14" s="41">
        <v>2.1</v>
      </c>
      <c r="G14" s="41">
        <v>1.3</v>
      </c>
      <c r="H14" s="43"/>
      <c r="I14" s="450">
        <f t="shared" si="2"/>
        <v>6.2</v>
      </c>
      <c r="J14" s="450">
        <f t="shared" si="3"/>
        <v>3</v>
      </c>
      <c r="K14" s="12"/>
      <c r="L14" s="747">
        <f t="shared" si="7"/>
        <v>2.0666666666666669</v>
      </c>
      <c r="M14" s="54" t="str">
        <f t="shared" si="8"/>
        <v>C-4</v>
      </c>
      <c r="N14" s="602"/>
      <c r="O14" s="603" t="s">
        <v>401</v>
      </c>
      <c r="P14" s="603" t="s">
        <v>401</v>
      </c>
      <c r="Q14" s="603" t="s">
        <v>401</v>
      </c>
      <c r="R14" s="26">
        <f>BEGINBLAD!D10</f>
        <v>0</v>
      </c>
      <c r="S14" s="51">
        <v>6</v>
      </c>
      <c r="T14" s="52" t="str">
        <f>BEGINBLAD!C10</f>
        <v>leerling 6</v>
      </c>
      <c r="U14" s="443"/>
      <c r="V14" s="443"/>
      <c r="W14" s="443"/>
      <c r="X14" s="443"/>
      <c r="Y14" s="443"/>
      <c r="Z14" s="450">
        <f t="shared" si="4"/>
        <v>0</v>
      </c>
      <c r="AA14" s="450">
        <f t="shared" si="5"/>
        <v>0</v>
      </c>
      <c r="AB14" s="12"/>
      <c r="AC14" s="453" t="str">
        <f t="shared" si="6"/>
        <v/>
      </c>
      <c r="AD14" s="452" t="str">
        <f t="shared" si="9"/>
        <v/>
      </c>
    </row>
    <row r="15" spans="1:30" s="4" customFormat="1" ht="19.5" customHeight="1" x14ac:dyDescent="0.25">
      <c r="A15" s="26">
        <f>BEGINBLAD!D11</f>
        <v>0</v>
      </c>
      <c r="B15" s="51">
        <v>7</v>
      </c>
      <c r="C15" s="52" t="str">
        <f>BEGINBLAD!C11</f>
        <v>leerling 7</v>
      </c>
      <c r="D15" s="44"/>
      <c r="E15" s="40">
        <v>4.4000000000000004</v>
      </c>
      <c r="F15" s="44">
        <v>3.3</v>
      </c>
      <c r="G15" s="43">
        <v>3</v>
      </c>
      <c r="H15" s="41"/>
      <c r="I15" s="450">
        <f t="shared" si="2"/>
        <v>10.7</v>
      </c>
      <c r="J15" s="450">
        <f t="shared" si="3"/>
        <v>3</v>
      </c>
      <c r="K15" s="12"/>
      <c r="L15" s="747">
        <f t="shared" si="7"/>
        <v>3.5666666666666664</v>
      </c>
      <c r="M15" s="54" t="str">
        <f t="shared" si="8"/>
        <v>B-2</v>
      </c>
      <c r="N15" s="602"/>
      <c r="O15" s="603" t="s">
        <v>402</v>
      </c>
      <c r="P15" s="603" t="s">
        <v>402</v>
      </c>
      <c r="Q15" s="603" t="s">
        <v>401</v>
      </c>
      <c r="R15" s="26">
        <f>BEGINBLAD!D11</f>
        <v>0</v>
      </c>
      <c r="S15" s="51">
        <v>7</v>
      </c>
      <c r="T15" s="52" t="str">
        <f>BEGINBLAD!C11</f>
        <v>leerling 7</v>
      </c>
      <c r="U15" s="443"/>
      <c r="V15" s="443"/>
      <c r="W15" s="443"/>
      <c r="X15" s="443"/>
      <c r="Y15" s="443"/>
      <c r="Z15" s="450">
        <f t="shared" si="4"/>
        <v>0</v>
      </c>
      <c r="AA15" s="450">
        <f t="shared" si="5"/>
        <v>0</v>
      </c>
      <c r="AB15" s="12"/>
      <c r="AC15" s="453" t="str">
        <f t="shared" si="6"/>
        <v/>
      </c>
      <c r="AD15" s="452" t="str">
        <f t="shared" si="9"/>
        <v/>
      </c>
    </row>
    <row r="16" spans="1:30" ht="19.5" customHeight="1" x14ac:dyDescent="0.25">
      <c r="A16" s="27">
        <f>BEGINBLAD!D12</f>
        <v>0</v>
      </c>
      <c r="B16" s="51">
        <v>8</v>
      </c>
      <c r="C16" s="52" t="str">
        <f>BEGINBLAD!C12</f>
        <v>leerling 8</v>
      </c>
      <c r="D16" s="40"/>
      <c r="E16" s="40">
        <v>4.5999999999999996</v>
      </c>
      <c r="F16" s="40">
        <v>3.6</v>
      </c>
      <c r="G16" s="42">
        <v>2.9</v>
      </c>
      <c r="H16" s="40"/>
      <c r="I16" s="450">
        <f t="shared" si="2"/>
        <v>11.1</v>
      </c>
      <c r="J16" s="450">
        <f t="shared" si="3"/>
        <v>3</v>
      </c>
      <c r="K16" s="12"/>
      <c r="L16" s="747">
        <f t="shared" si="7"/>
        <v>3.6999999999999997</v>
      </c>
      <c r="M16" s="54" t="str">
        <f t="shared" si="8"/>
        <v>B-2</v>
      </c>
      <c r="N16" s="602"/>
      <c r="O16" s="603" t="s">
        <v>402</v>
      </c>
      <c r="P16" s="603" t="s">
        <v>402</v>
      </c>
      <c r="Q16" s="603" t="s">
        <v>401</v>
      </c>
      <c r="R16" s="26">
        <f>BEGINBLAD!D12</f>
        <v>0</v>
      </c>
      <c r="S16" s="51">
        <v>8</v>
      </c>
      <c r="T16" s="52" t="str">
        <f>BEGINBLAD!C12</f>
        <v>leerling 8</v>
      </c>
      <c r="U16" s="443"/>
      <c r="V16" s="443"/>
      <c r="W16" s="443"/>
      <c r="X16" s="443"/>
      <c r="Y16" s="443"/>
      <c r="Z16" s="450">
        <f t="shared" si="4"/>
        <v>0</v>
      </c>
      <c r="AA16" s="450">
        <f t="shared" si="5"/>
        <v>0</v>
      </c>
      <c r="AB16" s="12"/>
      <c r="AC16" s="453" t="str">
        <f t="shared" si="6"/>
        <v/>
      </c>
      <c r="AD16" s="452" t="str">
        <f t="shared" si="9"/>
        <v/>
      </c>
    </row>
    <row r="17" spans="1:30" s="4" customFormat="1" ht="19.5" customHeight="1" x14ac:dyDescent="0.25">
      <c r="A17" s="26">
        <f>BEGINBLAD!D13</f>
        <v>0</v>
      </c>
      <c r="B17" s="51">
        <v>9</v>
      </c>
      <c r="C17" s="52" t="str">
        <f>BEGINBLAD!C13</f>
        <v>leerling 9</v>
      </c>
      <c r="D17" s="42"/>
      <c r="E17" s="40">
        <v>3.4</v>
      </c>
      <c r="F17" s="42">
        <v>1.2</v>
      </c>
      <c r="G17" s="42">
        <v>2.9</v>
      </c>
      <c r="H17" s="40"/>
      <c r="I17" s="450">
        <f t="shared" si="2"/>
        <v>7.5</v>
      </c>
      <c r="J17" s="450">
        <f t="shared" si="3"/>
        <v>3</v>
      </c>
      <c r="K17" s="12"/>
      <c r="L17" s="747">
        <f t="shared" si="7"/>
        <v>2.5</v>
      </c>
      <c r="M17" s="54" t="str">
        <f t="shared" si="8"/>
        <v>C-3</v>
      </c>
      <c r="N17" s="602"/>
      <c r="O17" s="603"/>
      <c r="P17" s="603" t="s">
        <v>402</v>
      </c>
      <c r="Q17" s="603" t="s">
        <v>401</v>
      </c>
      <c r="R17" s="26">
        <f>BEGINBLAD!D13</f>
        <v>0</v>
      </c>
      <c r="S17" s="51">
        <v>9</v>
      </c>
      <c r="T17" s="52" t="str">
        <f>BEGINBLAD!C13</f>
        <v>leerling 9</v>
      </c>
      <c r="U17" s="443"/>
      <c r="V17" s="443"/>
      <c r="W17" s="443"/>
      <c r="X17" s="443"/>
      <c r="Y17" s="443"/>
      <c r="Z17" s="450">
        <f t="shared" si="4"/>
        <v>0</v>
      </c>
      <c r="AA17" s="450">
        <f t="shared" si="5"/>
        <v>0</v>
      </c>
      <c r="AB17" s="12"/>
      <c r="AC17" s="453" t="str">
        <f t="shared" si="6"/>
        <v/>
      </c>
      <c r="AD17" s="452" t="str">
        <f t="shared" si="9"/>
        <v/>
      </c>
    </row>
    <row r="18" spans="1:30" ht="19.5" customHeight="1" x14ac:dyDescent="0.25">
      <c r="A18" s="27">
        <f>BEGINBLAD!D14</f>
        <v>0</v>
      </c>
      <c r="B18" s="51">
        <v>10</v>
      </c>
      <c r="C18" s="52" t="str">
        <f>BEGINBLAD!C14</f>
        <v>leerling 10</v>
      </c>
      <c r="D18" s="42"/>
      <c r="E18" s="43">
        <v>4.9000000000000004</v>
      </c>
      <c r="F18" s="42">
        <v>3.6</v>
      </c>
      <c r="G18" s="40">
        <v>4.0999999999999996</v>
      </c>
      <c r="H18" s="43"/>
      <c r="I18" s="450">
        <f t="shared" si="2"/>
        <v>12.6</v>
      </c>
      <c r="J18" s="450">
        <f t="shared" si="3"/>
        <v>3</v>
      </c>
      <c r="K18" s="12"/>
      <c r="L18" s="747">
        <f t="shared" si="7"/>
        <v>4.2</v>
      </c>
      <c r="M18" s="54" t="str">
        <f t="shared" si="8"/>
        <v>A-2</v>
      </c>
      <c r="N18" s="602"/>
      <c r="O18" s="603" t="s">
        <v>402</v>
      </c>
      <c r="P18" s="603" t="s">
        <v>402</v>
      </c>
      <c r="Q18" s="603" t="s">
        <v>402</v>
      </c>
      <c r="R18" s="26">
        <f>BEGINBLAD!D14</f>
        <v>0</v>
      </c>
      <c r="S18" s="51">
        <v>10</v>
      </c>
      <c r="T18" s="52" t="str">
        <f>BEGINBLAD!C14</f>
        <v>leerling 10</v>
      </c>
      <c r="U18" s="443"/>
      <c r="V18" s="443"/>
      <c r="W18" s="443"/>
      <c r="X18" s="443"/>
      <c r="Y18" s="443"/>
      <c r="Z18" s="450">
        <f t="shared" si="4"/>
        <v>0</v>
      </c>
      <c r="AA18" s="450">
        <f t="shared" si="5"/>
        <v>0</v>
      </c>
      <c r="AB18" s="12"/>
      <c r="AC18" s="453" t="str">
        <f t="shared" si="6"/>
        <v/>
      </c>
      <c r="AD18" s="452" t="str">
        <f t="shared" si="9"/>
        <v/>
      </c>
    </row>
    <row r="19" spans="1:30" s="4" customFormat="1" ht="19.5" customHeight="1" x14ac:dyDescent="0.25">
      <c r="A19" s="26">
        <f>BEGINBLAD!D15</f>
        <v>0</v>
      </c>
      <c r="B19" s="51">
        <v>11</v>
      </c>
      <c r="C19" s="52" t="str">
        <f>BEGINBLAD!C15</f>
        <v>leerling 11</v>
      </c>
      <c r="D19" s="43"/>
      <c r="E19" s="40">
        <v>2</v>
      </c>
      <c r="F19" s="43">
        <v>2.2999999999999998</v>
      </c>
      <c r="G19" s="43">
        <v>3.6</v>
      </c>
      <c r="H19" s="40"/>
      <c r="I19" s="450">
        <f t="shared" si="2"/>
        <v>7.9</v>
      </c>
      <c r="J19" s="450">
        <f t="shared" si="3"/>
        <v>3</v>
      </c>
      <c r="K19" s="12"/>
      <c r="L19" s="747">
        <f t="shared" si="7"/>
        <v>2.6333333333333333</v>
      </c>
      <c r="M19" s="54" t="str">
        <f t="shared" si="8"/>
        <v>C-3</v>
      </c>
      <c r="N19" s="602"/>
      <c r="O19" s="603" t="s">
        <v>401</v>
      </c>
      <c r="P19" s="603" t="s">
        <v>401</v>
      </c>
      <c r="Q19" s="603" t="s">
        <v>401</v>
      </c>
      <c r="R19" s="26">
        <f>BEGINBLAD!D15</f>
        <v>0</v>
      </c>
      <c r="S19" s="51">
        <v>11</v>
      </c>
      <c r="T19" s="52" t="str">
        <f>BEGINBLAD!C15</f>
        <v>leerling 11</v>
      </c>
      <c r="U19" s="443"/>
      <c r="V19" s="443"/>
      <c r="W19" s="443"/>
      <c r="X19" s="443"/>
      <c r="Y19" s="443"/>
      <c r="Z19" s="450">
        <f t="shared" si="4"/>
        <v>0</v>
      </c>
      <c r="AA19" s="450">
        <f t="shared" si="5"/>
        <v>0</v>
      </c>
      <c r="AB19" s="12"/>
      <c r="AC19" s="453" t="str">
        <f t="shared" si="6"/>
        <v/>
      </c>
      <c r="AD19" s="452" t="str">
        <f t="shared" si="9"/>
        <v/>
      </c>
    </row>
    <row r="20" spans="1:30" ht="19.5" customHeight="1" x14ac:dyDescent="0.25">
      <c r="A20" s="27">
        <f>BEGINBLAD!D16</f>
        <v>0</v>
      </c>
      <c r="B20" s="51">
        <v>12</v>
      </c>
      <c r="C20" s="52" t="str">
        <f>BEGINBLAD!C16</f>
        <v>leerling 12</v>
      </c>
      <c r="D20" s="42"/>
      <c r="E20" s="42">
        <v>3.4</v>
      </c>
      <c r="F20" s="42">
        <v>3.3</v>
      </c>
      <c r="G20" s="42">
        <v>2.4</v>
      </c>
      <c r="H20" s="43"/>
      <c r="I20" s="450">
        <f t="shared" si="2"/>
        <v>9.1</v>
      </c>
      <c r="J20" s="450">
        <f t="shared" si="3"/>
        <v>3</v>
      </c>
      <c r="K20" s="12"/>
      <c r="L20" s="747">
        <f t="shared" si="7"/>
        <v>3.0333333333333332</v>
      </c>
      <c r="M20" s="54" t="str">
        <f t="shared" si="8"/>
        <v>B-3</v>
      </c>
      <c r="N20" s="602"/>
      <c r="O20" s="603" t="s">
        <v>402</v>
      </c>
      <c r="P20" s="603" t="s">
        <v>402</v>
      </c>
      <c r="Q20" s="603" t="s">
        <v>401</v>
      </c>
      <c r="R20" s="26">
        <f>BEGINBLAD!D16</f>
        <v>0</v>
      </c>
      <c r="S20" s="51">
        <v>12</v>
      </c>
      <c r="T20" s="52" t="str">
        <f>BEGINBLAD!C16</f>
        <v>leerling 12</v>
      </c>
      <c r="U20" s="443"/>
      <c r="V20" s="443"/>
      <c r="W20" s="443"/>
      <c r="X20" s="443"/>
      <c r="Y20" s="443"/>
      <c r="Z20" s="450">
        <f t="shared" si="4"/>
        <v>0</v>
      </c>
      <c r="AA20" s="450">
        <f t="shared" si="5"/>
        <v>0</v>
      </c>
      <c r="AB20" s="12"/>
      <c r="AC20" s="453" t="str">
        <f t="shared" si="6"/>
        <v/>
      </c>
      <c r="AD20" s="452" t="str">
        <f t="shared" si="9"/>
        <v/>
      </c>
    </row>
    <row r="21" spans="1:30" s="4" customFormat="1" ht="19.5" customHeight="1" x14ac:dyDescent="0.25">
      <c r="A21" s="26">
        <f>BEGINBLAD!D17</f>
        <v>0</v>
      </c>
      <c r="B21" s="51">
        <v>13</v>
      </c>
      <c r="C21" s="52" t="str">
        <f>BEGINBLAD!C17</f>
        <v>leerling 13</v>
      </c>
      <c r="D21" s="42"/>
      <c r="E21" s="43">
        <v>4.4000000000000004</v>
      </c>
      <c r="F21" s="42">
        <v>3.6</v>
      </c>
      <c r="G21" s="43">
        <v>3.2</v>
      </c>
      <c r="H21" s="42"/>
      <c r="I21" s="450">
        <f t="shared" si="2"/>
        <v>11.2</v>
      </c>
      <c r="J21" s="450">
        <f t="shared" si="3"/>
        <v>3</v>
      </c>
      <c r="K21" s="12"/>
      <c r="L21" s="747">
        <f t="shared" si="7"/>
        <v>3.7333333333333329</v>
      </c>
      <c r="M21" s="54" t="str">
        <f t="shared" si="8"/>
        <v>B-2</v>
      </c>
      <c r="N21" s="602"/>
      <c r="O21" s="603" t="s">
        <v>402</v>
      </c>
      <c r="P21" s="603" t="s">
        <v>402</v>
      </c>
      <c r="Q21" s="603"/>
      <c r="R21" s="26">
        <f>BEGINBLAD!D17</f>
        <v>0</v>
      </c>
      <c r="S21" s="51">
        <v>13</v>
      </c>
      <c r="T21" s="52" t="str">
        <f>BEGINBLAD!C17</f>
        <v>leerling 13</v>
      </c>
      <c r="U21" s="443"/>
      <c r="V21" s="443"/>
      <c r="W21" s="443"/>
      <c r="X21" s="443"/>
      <c r="Y21" s="443"/>
      <c r="Z21" s="450">
        <f t="shared" si="4"/>
        <v>0</v>
      </c>
      <c r="AA21" s="450">
        <f t="shared" si="5"/>
        <v>0</v>
      </c>
      <c r="AB21" s="12"/>
      <c r="AC21" s="453" t="str">
        <f t="shared" si="6"/>
        <v/>
      </c>
      <c r="AD21" s="452" t="str">
        <f t="shared" si="9"/>
        <v/>
      </c>
    </row>
    <row r="22" spans="1:30" ht="19.5" customHeight="1" x14ac:dyDescent="0.25">
      <c r="A22" s="27">
        <f>BEGINBLAD!D18</f>
        <v>0</v>
      </c>
      <c r="B22" s="51">
        <v>14</v>
      </c>
      <c r="C22" s="52" t="str">
        <f>BEGINBLAD!C18</f>
        <v>leerling 14</v>
      </c>
      <c r="D22" s="42"/>
      <c r="E22" s="41">
        <v>2.8</v>
      </c>
      <c r="F22" s="42">
        <v>2.8</v>
      </c>
      <c r="G22" s="42">
        <v>2.6</v>
      </c>
      <c r="H22" s="42"/>
      <c r="I22" s="450">
        <f t="shared" si="2"/>
        <v>8.1999999999999993</v>
      </c>
      <c r="J22" s="450">
        <f t="shared" si="3"/>
        <v>3</v>
      </c>
      <c r="K22" s="12"/>
      <c r="L22" s="747">
        <f t="shared" si="7"/>
        <v>2.7333333333333329</v>
      </c>
      <c r="M22" s="54" t="str">
        <f t="shared" si="8"/>
        <v>C-3</v>
      </c>
      <c r="N22" s="602"/>
      <c r="O22" s="603" t="s">
        <v>401</v>
      </c>
      <c r="P22" s="603" t="s">
        <v>401</v>
      </c>
      <c r="Q22" s="603" t="s">
        <v>401</v>
      </c>
      <c r="R22" s="26">
        <f>BEGINBLAD!D18</f>
        <v>0</v>
      </c>
      <c r="S22" s="51">
        <v>14</v>
      </c>
      <c r="T22" s="52" t="str">
        <f>BEGINBLAD!C18</f>
        <v>leerling 14</v>
      </c>
      <c r="U22" s="443"/>
      <c r="V22" s="443"/>
      <c r="W22" s="443"/>
      <c r="X22" s="443"/>
      <c r="Y22" s="443"/>
      <c r="Z22" s="450">
        <f t="shared" si="4"/>
        <v>0</v>
      </c>
      <c r="AA22" s="450">
        <f t="shared" si="5"/>
        <v>0</v>
      </c>
      <c r="AB22" s="12"/>
      <c r="AC22" s="453" t="str">
        <f t="shared" si="6"/>
        <v/>
      </c>
      <c r="AD22" s="452" t="str">
        <f t="shared" si="9"/>
        <v/>
      </c>
    </row>
    <row r="23" spans="1:30" s="4" customFormat="1" ht="19.5" customHeight="1" x14ac:dyDescent="0.25">
      <c r="A23" s="26">
        <f>BEGINBLAD!D19</f>
        <v>0</v>
      </c>
      <c r="B23" s="51">
        <v>15</v>
      </c>
      <c r="C23" s="52" t="str">
        <f>BEGINBLAD!C19</f>
        <v>leerling 15</v>
      </c>
      <c r="D23" s="42"/>
      <c r="E23" s="42">
        <v>5</v>
      </c>
      <c r="F23" s="42">
        <v>2.8</v>
      </c>
      <c r="G23" s="40">
        <v>4.5999999999999996</v>
      </c>
      <c r="H23" s="43"/>
      <c r="I23" s="450">
        <f t="shared" si="2"/>
        <v>12.399999999999999</v>
      </c>
      <c r="J23" s="450">
        <f t="shared" si="3"/>
        <v>3</v>
      </c>
      <c r="K23" s="12"/>
      <c r="L23" s="747">
        <f t="shared" si="7"/>
        <v>4.1333333333333329</v>
      </c>
      <c r="M23" s="54" t="str">
        <f t="shared" si="8"/>
        <v>A-2</v>
      </c>
      <c r="N23" s="602"/>
      <c r="O23" s="603" t="s">
        <v>401</v>
      </c>
      <c r="P23" s="603" t="s">
        <v>402</v>
      </c>
      <c r="Q23" s="603" t="s">
        <v>402</v>
      </c>
      <c r="R23" s="26">
        <f>BEGINBLAD!D19</f>
        <v>0</v>
      </c>
      <c r="S23" s="51">
        <v>15</v>
      </c>
      <c r="T23" s="52" t="str">
        <f>BEGINBLAD!C19</f>
        <v>leerling 15</v>
      </c>
      <c r="U23" s="443"/>
      <c r="V23" s="443"/>
      <c r="W23" s="443"/>
      <c r="X23" s="443"/>
      <c r="Y23" s="443"/>
      <c r="Z23" s="450">
        <f t="shared" si="4"/>
        <v>0</v>
      </c>
      <c r="AA23" s="450">
        <f t="shared" si="5"/>
        <v>0</v>
      </c>
      <c r="AB23" s="12"/>
      <c r="AC23" s="453" t="str">
        <f t="shared" si="6"/>
        <v/>
      </c>
      <c r="AD23" s="452" t="str">
        <f t="shared" si="9"/>
        <v/>
      </c>
    </row>
    <row r="24" spans="1:30" ht="19.5" customHeight="1" x14ac:dyDescent="0.25">
      <c r="A24" s="27">
        <f>BEGINBLAD!D20</f>
        <v>0</v>
      </c>
      <c r="B24" s="51">
        <v>16</v>
      </c>
      <c r="C24" s="52" t="str">
        <f>BEGINBLAD!C20</f>
        <v>leerling 16</v>
      </c>
      <c r="D24" s="40"/>
      <c r="E24" s="40">
        <v>4.4000000000000004</v>
      </c>
      <c r="F24" s="40">
        <v>2.1</v>
      </c>
      <c r="G24" s="40">
        <v>4.9000000000000004</v>
      </c>
      <c r="H24" s="43"/>
      <c r="I24" s="450">
        <f t="shared" si="2"/>
        <v>11.4</v>
      </c>
      <c r="J24" s="450">
        <f t="shared" si="3"/>
        <v>3</v>
      </c>
      <c r="K24" s="12"/>
      <c r="L24" s="747">
        <f t="shared" si="7"/>
        <v>3.8000000000000003</v>
      </c>
      <c r="M24" s="54" t="str">
        <f t="shared" si="8"/>
        <v>B-2</v>
      </c>
      <c r="N24" s="602"/>
      <c r="O24" s="603" t="s">
        <v>401</v>
      </c>
      <c r="P24" s="603" t="s">
        <v>402</v>
      </c>
      <c r="Q24" s="603" t="s">
        <v>402</v>
      </c>
      <c r="R24" s="26">
        <f>BEGINBLAD!D20</f>
        <v>0</v>
      </c>
      <c r="S24" s="51">
        <v>16</v>
      </c>
      <c r="T24" s="52" t="str">
        <f>BEGINBLAD!C20</f>
        <v>leerling 16</v>
      </c>
      <c r="U24" s="443"/>
      <c r="V24" s="443"/>
      <c r="W24" s="443"/>
      <c r="X24" s="443"/>
      <c r="Y24" s="443"/>
      <c r="Z24" s="450">
        <f t="shared" si="4"/>
        <v>0</v>
      </c>
      <c r="AA24" s="450">
        <f t="shared" si="5"/>
        <v>0</v>
      </c>
      <c r="AB24" s="12"/>
      <c r="AC24" s="453" t="str">
        <f t="shared" si="6"/>
        <v/>
      </c>
      <c r="AD24" s="452" t="str">
        <f t="shared" si="9"/>
        <v/>
      </c>
    </row>
    <row r="25" spans="1:30" s="4" customFormat="1" ht="19.5" customHeight="1" x14ac:dyDescent="0.25">
      <c r="A25" s="26">
        <f>BEGINBLAD!D21</f>
        <v>0</v>
      </c>
      <c r="B25" s="51">
        <v>17</v>
      </c>
      <c r="C25" s="52" t="str">
        <f>BEGINBLAD!C21</f>
        <v>leerling 17</v>
      </c>
      <c r="D25" s="43"/>
      <c r="E25" s="40">
        <v>4.9000000000000004</v>
      </c>
      <c r="F25" s="43">
        <v>3.1</v>
      </c>
      <c r="G25" s="42">
        <v>2.9</v>
      </c>
      <c r="H25" s="40"/>
      <c r="I25" s="450">
        <f t="shared" si="2"/>
        <v>10.9</v>
      </c>
      <c r="J25" s="450">
        <f t="shared" si="3"/>
        <v>3</v>
      </c>
      <c r="K25" s="12"/>
      <c r="L25" s="747">
        <f t="shared" si="7"/>
        <v>3.6333333333333333</v>
      </c>
      <c r="M25" s="54" t="str">
        <f t="shared" si="8"/>
        <v>B-2</v>
      </c>
      <c r="N25" s="602"/>
      <c r="O25" s="603" t="s">
        <v>401</v>
      </c>
      <c r="P25" s="603" t="s">
        <v>402</v>
      </c>
      <c r="Q25" s="603" t="s">
        <v>401</v>
      </c>
      <c r="R25" s="26">
        <f>BEGINBLAD!D21</f>
        <v>0</v>
      </c>
      <c r="S25" s="51">
        <v>17</v>
      </c>
      <c r="T25" s="52" t="str">
        <f>BEGINBLAD!C21</f>
        <v>leerling 17</v>
      </c>
      <c r="U25" s="443"/>
      <c r="V25" s="443"/>
      <c r="W25" s="443"/>
      <c r="X25" s="443"/>
      <c r="Y25" s="443"/>
      <c r="Z25" s="450">
        <f t="shared" si="4"/>
        <v>0</v>
      </c>
      <c r="AA25" s="450">
        <f t="shared" si="5"/>
        <v>0</v>
      </c>
      <c r="AB25" s="12"/>
      <c r="AC25" s="453" t="str">
        <f t="shared" si="6"/>
        <v/>
      </c>
      <c r="AD25" s="452" t="str">
        <f t="shared" si="9"/>
        <v/>
      </c>
    </row>
    <row r="26" spans="1:30" ht="19.5" customHeight="1" x14ac:dyDescent="0.25">
      <c r="A26" s="27">
        <f>BEGINBLAD!D22</f>
        <v>0</v>
      </c>
      <c r="B26" s="51">
        <v>18</v>
      </c>
      <c r="C26" s="52" t="str">
        <f>BEGINBLAD!C22</f>
        <v>leerling 18</v>
      </c>
      <c r="D26" s="42"/>
      <c r="E26" s="40">
        <v>2.2999999999999998</v>
      </c>
      <c r="F26" s="42">
        <v>2.5</v>
      </c>
      <c r="G26" s="43">
        <v>3.8</v>
      </c>
      <c r="H26" s="40"/>
      <c r="I26" s="450">
        <f t="shared" si="2"/>
        <v>8.6</v>
      </c>
      <c r="J26" s="450">
        <f t="shared" si="3"/>
        <v>3</v>
      </c>
      <c r="K26" s="12"/>
      <c r="L26" s="747">
        <f t="shared" si="7"/>
        <v>2.8666666666666667</v>
      </c>
      <c r="M26" s="54" t="str">
        <f t="shared" si="8"/>
        <v>C-3</v>
      </c>
      <c r="N26" s="602"/>
      <c r="O26" s="603" t="s">
        <v>401</v>
      </c>
      <c r="P26" s="603" t="s">
        <v>401</v>
      </c>
      <c r="Q26" s="603" t="s">
        <v>402</v>
      </c>
      <c r="R26" s="26">
        <f>BEGINBLAD!D22</f>
        <v>0</v>
      </c>
      <c r="S26" s="51">
        <v>18</v>
      </c>
      <c r="T26" s="52" t="str">
        <f>BEGINBLAD!C22</f>
        <v>leerling 18</v>
      </c>
      <c r="U26" s="443"/>
      <c r="V26" s="443"/>
      <c r="W26" s="443"/>
      <c r="X26" s="443"/>
      <c r="Y26" s="443"/>
      <c r="Z26" s="450">
        <f t="shared" si="4"/>
        <v>0</v>
      </c>
      <c r="AA26" s="450">
        <f t="shared" si="5"/>
        <v>0</v>
      </c>
      <c r="AB26" s="12"/>
      <c r="AC26" s="453" t="str">
        <f t="shared" si="6"/>
        <v/>
      </c>
      <c r="AD26" s="452" t="str">
        <f t="shared" si="9"/>
        <v/>
      </c>
    </row>
    <row r="27" spans="1:30" s="4" customFormat="1" ht="19.5" customHeight="1" x14ac:dyDescent="0.25">
      <c r="A27" s="26">
        <f>BEGINBLAD!D23</f>
        <v>0</v>
      </c>
      <c r="B27" s="51">
        <v>19</v>
      </c>
      <c r="C27" s="52" t="str">
        <f>BEGINBLAD!C23</f>
        <v>leerling 19</v>
      </c>
      <c r="D27" s="41"/>
      <c r="E27" s="41">
        <v>2.5</v>
      </c>
      <c r="F27" s="41">
        <v>0.8</v>
      </c>
      <c r="G27" s="42">
        <v>2.1</v>
      </c>
      <c r="H27" s="42"/>
      <c r="I27" s="450">
        <f t="shared" si="2"/>
        <v>5.4</v>
      </c>
      <c r="J27" s="450">
        <f t="shared" si="3"/>
        <v>3</v>
      </c>
      <c r="K27" s="12"/>
      <c r="L27" s="747">
        <f t="shared" si="7"/>
        <v>1.8</v>
      </c>
      <c r="M27" s="54" t="str">
        <f t="shared" si="8"/>
        <v>D-4</v>
      </c>
      <c r="N27" s="602"/>
      <c r="O27" s="603"/>
      <c r="P27" s="603" t="s">
        <v>401</v>
      </c>
      <c r="Q27" s="603"/>
      <c r="R27" s="26">
        <f>BEGINBLAD!D23</f>
        <v>0</v>
      </c>
      <c r="S27" s="51">
        <v>19</v>
      </c>
      <c r="T27" s="52" t="str">
        <f>BEGINBLAD!C23</f>
        <v>leerling 19</v>
      </c>
      <c r="U27" s="443"/>
      <c r="V27" s="443"/>
      <c r="W27" s="443"/>
      <c r="X27" s="443"/>
      <c r="Y27" s="443"/>
      <c r="Z27" s="450">
        <f t="shared" si="4"/>
        <v>0</v>
      </c>
      <c r="AA27" s="450">
        <f t="shared" si="5"/>
        <v>0</v>
      </c>
      <c r="AB27" s="12"/>
      <c r="AC27" s="453" t="str">
        <f t="shared" si="6"/>
        <v/>
      </c>
      <c r="AD27" s="452" t="str">
        <f t="shared" si="9"/>
        <v/>
      </c>
    </row>
    <row r="28" spans="1:30" ht="19.5" customHeight="1" x14ac:dyDescent="0.25">
      <c r="A28" s="27">
        <f>BEGINBLAD!D24</f>
        <v>0</v>
      </c>
      <c r="B28" s="51">
        <v>20</v>
      </c>
      <c r="C28" s="52" t="str">
        <f>BEGINBLAD!C24</f>
        <v>leerling 20</v>
      </c>
      <c r="D28" s="40"/>
      <c r="E28" s="40">
        <v>1.5</v>
      </c>
      <c r="F28" s="40">
        <v>3.6</v>
      </c>
      <c r="G28" s="41">
        <v>1.7</v>
      </c>
      <c r="H28" s="40"/>
      <c r="I28" s="450">
        <f t="shared" si="2"/>
        <v>6.8</v>
      </c>
      <c r="J28" s="450">
        <f t="shared" si="3"/>
        <v>3</v>
      </c>
      <c r="K28" s="12"/>
      <c r="L28" s="747">
        <f t="shared" si="7"/>
        <v>2.2666666666666666</v>
      </c>
      <c r="M28" s="54" t="str">
        <f t="shared" si="8"/>
        <v>C-4</v>
      </c>
      <c r="N28" s="602"/>
      <c r="O28" s="603" t="s">
        <v>402</v>
      </c>
      <c r="P28" s="603" t="s">
        <v>401</v>
      </c>
      <c r="Q28" s="603" t="s">
        <v>401</v>
      </c>
      <c r="R28" s="26">
        <f>BEGINBLAD!D24</f>
        <v>0</v>
      </c>
      <c r="S28" s="51">
        <v>20</v>
      </c>
      <c r="T28" s="52" t="str">
        <f>BEGINBLAD!C24</f>
        <v>leerling 20</v>
      </c>
      <c r="U28" s="443"/>
      <c r="V28" s="443"/>
      <c r="W28" s="443"/>
      <c r="X28" s="443"/>
      <c r="Y28" s="443"/>
      <c r="Z28" s="450">
        <f t="shared" si="4"/>
        <v>0</v>
      </c>
      <c r="AA28" s="450">
        <f t="shared" si="5"/>
        <v>0</v>
      </c>
      <c r="AB28" s="12"/>
      <c r="AC28" s="453" t="str">
        <f t="shared" si="6"/>
        <v/>
      </c>
      <c r="AD28" s="452" t="str">
        <f t="shared" si="9"/>
        <v/>
      </c>
    </row>
    <row r="29" spans="1:30" s="4" customFormat="1" ht="19.5" customHeight="1" x14ac:dyDescent="0.25">
      <c r="A29" s="26">
        <f>BEGINBLAD!D25</f>
        <v>0</v>
      </c>
      <c r="B29" s="51">
        <v>21</v>
      </c>
      <c r="C29" s="52" t="str">
        <f>BEGINBLAD!C25</f>
        <v>leerling 21</v>
      </c>
      <c r="D29" s="42"/>
      <c r="E29" s="40">
        <v>2.2999999999999998</v>
      </c>
      <c r="F29" s="42">
        <v>3.3</v>
      </c>
      <c r="G29" s="43">
        <v>3.4</v>
      </c>
      <c r="H29" s="40"/>
      <c r="I29" s="450">
        <f t="shared" si="2"/>
        <v>9</v>
      </c>
      <c r="J29" s="450">
        <f t="shared" si="3"/>
        <v>3</v>
      </c>
      <c r="K29" s="12"/>
      <c r="L29" s="747">
        <f t="shared" si="7"/>
        <v>3</v>
      </c>
      <c r="M29" s="54" t="str">
        <f t="shared" si="8"/>
        <v>B-3</v>
      </c>
      <c r="N29" s="602"/>
      <c r="O29" s="603" t="s">
        <v>402</v>
      </c>
      <c r="P29" s="603" t="s">
        <v>401</v>
      </c>
      <c r="Q29" s="603" t="s">
        <v>401</v>
      </c>
      <c r="R29" s="26">
        <f>BEGINBLAD!D25</f>
        <v>0</v>
      </c>
      <c r="S29" s="51">
        <v>21</v>
      </c>
      <c r="T29" s="52" t="str">
        <f>BEGINBLAD!C25</f>
        <v>leerling 21</v>
      </c>
      <c r="U29" s="444"/>
      <c r="V29" s="443"/>
      <c r="W29" s="443"/>
      <c r="X29" s="443"/>
      <c r="Y29" s="443"/>
      <c r="Z29" s="450">
        <f t="shared" si="4"/>
        <v>0</v>
      </c>
      <c r="AA29" s="450">
        <f t="shared" si="5"/>
        <v>0</v>
      </c>
      <c r="AB29" s="12"/>
      <c r="AC29" s="453" t="str">
        <f t="shared" si="6"/>
        <v/>
      </c>
      <c r="AD29" s="452" t="str">
        <f t="shared" si="9"/>
        <v/>
      </c>
    </row>
    <row r="30" spans="1:30" ht="19.5" customHeight="1" x14ac:dyDescent="0.25">
      <c r="A30" s="27">
        <f>BEGINBLAD!D26</f>
        <v>0</v>
      </c>
      <c r="B30" s="51">
        <v>22</v>
      </c>
      <c r="C30" s="52" t="str">
        <f>BEGINBLAD!C26</f>
        <v>leerling 22</v>
      </c>
      <c r="D30" s="40"/>
      <c r="E30" s="40">
        <v>5</v>
      </c>
      <c r="F30" s="40">
        <v>2.8</v>
      </c>
      <c r="G30" s="43">
        <v>3.4</v>
      </c>
      <c r="H30" s="40"/>
      <c r="I30" s="450">
        <f t="shared" si="2"/>
        <v>11.2</v>
      </c>
      <c r="J30" s="450">
        <f t="shared" si="3"/>
        <v>3</v>
      </c>
      <c r="K30" s="12"/>
      <c r="L30" s="747">
        <f t="shared" si="7"/>
        <v>3.7333333333333329</v>
      </c>
      <c r="M30" s="54" t="str">
        <f t="shared" si="8"/>
        <v>B-2</v>
      </c>
      <c r="N30" s="602"/>
      <c r="O30" s="603" t="s">
        <v>401</v>
      </c>
      <c r="P30" s="603" t="s">
        <v>402</v>
      </c>
      <c r="Q30" s="603"/>
      <c r="R30" s="26">
        <f>BEGINBLAD!D26</f>
        <v>0</v>
      </c>
      <c r="S30" s="51">
        <v>22</v>
      </c>
      <c r="T30" s="52" t="str">
        <f>BEGINBLAD!C26</f>
        <v>leerling 22</v>
      </c>
      <c r="U30" s="443"/>
      <c r="V30" s="443"/>
      <c r="W30" s="443"/>
      <c r="X30" s="443"/>
      <c r="Y30" s="443"/>
      <c r="Z30" s="450">
        <f t="shared" si="4"/>
        <v>0</v>
      </c>
      <c r="AA30" s="450">
        <f t="shared" si="5"/>
        <v>0</v>
      </c>
      <c r="AB30" s="12"/>
      <c r="AC30" s="453" t="str">
        <f t="shared" si="6"/>
        <v/>
      </c>
      <c r="AD30" s="452" t="str">
        <f t="shared" si="9"/>
        <v/>
      </c>
    </row>
    <row r="31" spans="1:30" s="4" customFormat="1" ht="19.5" customHeight="1" x14ac:dyDescent="0.25">
      <c r="A31" s="26">
        <f>BEGINBLAD!D27</f>
        <v>0</v>
      </c>
      <c r="B31" s="51">
        <v>23</v>
      </c>
      <c r="C31" s="52" t="str">
        <f>BEGINBLAD!C27</f>
        <v>leerling 23</v>
      </c>
      <c r="D31" s="40"/>
      <c r="E31" s="40">
        <v>5</v>
      </c>
      <c r="F31" s="40">
        <v>2.8</v>
      </c>
      <c r="G31" s="40">
        <v>4.7</v>
      </c>
      <c r="H31" s="40"/>
      <c r="I31" s="450">
        <f t="shared" si="2"/>
        <v>12.5</v>
      </c>
      <c r="J31" s="450">
        <f t="shared" si="3"/>
        <v>3</v>
      </c>
      <c r="K31" s="12"/>
      <c r="L31" s="747">
        <f t="shared" si="7"/>
        <v>4.166666666666667</v>
      </c>
      <c r="M31" s="54" t="str">
        <f t="shared" si="8"/>
        <v>A-2</v>
      </c>
      <c r="N31" s="602"/>
      <c r="O31" s="603" t="s">
        <v>401</v>
      </c>
      <c r="P31" s="603" t="s">
        <v>402</v>
      </c>
      <c r="Q31" s="603" t="s">
        <v>402</v>
      </c>
      <c r="R31" s="26">
        <f>BEGINBLAD!D27</f>
        <v>0</v>
      </c>
      <c r="S31" s="51">
        <v>23</v>
      </c>
      <c r="T31" s="52" t="str">
        <f>BEGINBLAD!C27</f>
        <v>leerling 23</v>
      </c>
      <c r="U31" s="443"/>
      <c r="V31" s="443"/>
      <c r="W31" s="443"/>
      <c r="X31" s="443"/>
      <c r="Y31" s="443"/>
      <c r="Z31" s="450">
        <f t="shared" si="4"/>
        <v>0</v>
      </c>
      <c r="AA31" s="450">
        <f t="shared" si="5"/>
        <v>0</v>
      </c>
      <c r="AB31" s="12"/>
      <c r="AC31" s="453" t="str">
        <f t="shared" si="6"/>
        <v/>
      </c>
      <c r="AD31" s="452" t="str">
        <f t="shared" si="9"/>
        <v/>
      </c>
    </row>
    <row r="32" spans="1:30" ht="19.5" customHeight="1" x14ac:dyDescent="0.25">
      <c r="A32" s="27">
        <f>BEGINBLAD!D28</f>
        <v>0</v>
      </c>
      <c r="B32" s="51">
        <v>24</v>
      </c>
      <c r="C32" s="52" t="str">
        <f>BEGINBLAD!C28</f>
        <v>leerling 24</v>
      </c>
      <c r="D32" s="42"/>
      <c r="E32" s="43">
        <v>4.9000000000000004</v>
      </c>
      <c r="F32" s="42">
        <v>1.6</v>
      </c>
      <c r="G32" s="42">
        <v>2.7</v>
      </c>
      <c r="H32" s="40"/>
      <c r="I32" s="450">
        <f t="shared" si="2"/>
        <v>9.1999999999999993</v>
      </c>
      <c r="J32" s="450">
        <f t="shared" si="3"/>
        <v>3</v>
      </c>
      <c r="K32" s="12"/>
      <c r="L32" s="747">
        <f t="shared" si="7"/>
        <v>3.0666666666666664</v>
      </c>
      <c r="M32" s="54" t="str">
        <f t="shared" si="8"/>
        <v>B-3</v>
      </c>
      <c r="N32" s="602"/>
      <c r="O32" s="603" t="s">
        <v>401</v>
      </c>
      <c r="P32" s="603" t="s">
        <v>402</v>
      </c>
      <c r="Q32" s="603" t="s">
        <v>401</v>
      </c>
      <c r="R32" s="26">
        <f>BEGINBLAD!D28</f>
        <v>0</v>
      </c>
      <c r="S32" s="51">
        <v>24</v>
      </c>
      <c r="T32" s="52" t="str">
        <f>BEGINBLAD!C28</f>
        <v>leerling 24</v>
      </c>
      <c r="U32" s="443"/>
      <c r="V32" s="443"/>
      <c r="W32" s="443"/>
      <c r="X32" s="443"/>
      <c r="Y32" s="443"/>
      <c r="Z32" s="450">
        <f t="shared" si="4"/>
        <v>0</v>
      </c>
      <c r="AA32" s="450">
        <f t="shared" si="5"/>
        <v>0</v>
      </c>
      <c r="AB32" s="12"/>
      <c r="AC32" s="453" t="str">
        <f t="shared" si="6"/>
        <v/>
      </c>
      <c r="AD32" s="452" t="str">
        <f t="shared" si="9"/>
        <v/>
      </c>
    </row>
    <row r="33" spans="1:30" s="4" customFormat="1" ht="19.5" customHeight="1" x14ac:dyDescent="0.25">
      <c r="A33" s="26">
        <f>BEGINBLAD!D29</f>
        <v>0</v>
      </c>
      <c r="B33" s="51">
        <v>25</v>
      </c>
      <c r="C33" s="52" t="str">
        <f>BEGINBLAD!C29</f>
        <v>leerling 25</v>
      </c>
      <c r="D33" s="43"/>
      <c r="E33" s="42">
        <v>4.5999999999999996</v>
      </c>
      <c r="F33" s="43">
        <v>4.7</v>
      </c>
      <c r="G33" s="40">
        <v>4.8</v>
      </c>
      <c r="H33" s="40"/>
      <c r="I33" s="450">
        <f t="shared" si="2"/>
        <v>14.100000000000001</v>
      </c>
      <c r="J33" s="450">
        <f t="shared" si="3"/>
        <v>3</v>
      </c>
      <c r="K33" s="12"/>
      <c r="L33" s="747">
        <f t="shared" si="7"/>
        <v>4.7</v>
      </c>
      <c r="M33" s="54" t="str">
        <f t="shared" si="8"/>
        <v>A-1+</v>
      </c>
      <c r="N33" s="602"/>
      <c r="O33" s="603" t="s">
        <v>402</v>
      </c>
      <c r="P33" s="603" t="s">
        <v>402</v>
      </c>
      <c r="Q33" s="603" t="s">
        <v>402</v>
      </c>
      <c r="R33" s="26">
        <f>BEGINBLAD!D29</f>
        <v>0</v>
      </c>
      <c r="S33" s="51">
        <v>25</v>
      </c>
      <c r="T33" s="52" t="str">
        <f>BEGINBLAD!C29</f>
        <v>leerling 25</v>
      </c>
      <c r="U33" s="443"/>
      <c r="V33" s="443"/>
      <c r="W33" s="443"/>
      <c r="X33" s="443"/>
      <c r="Y33" s="443"/>
      <c r="Z33" s="450">
        <f t="shared" si="4"/>
        <v>0</v>
      </c>
      <c r="AA33" s="450">
        <f t="shared" si="5"/>
        <v>0</v>
      </c>
      <c r="AB33" s="12"/>
      <c r="AC33" s="453" t="str">
        <f t="shared" si="6"/>
        <v/>
      </c>
      <c r="AD33" s="452" t="str">
        <f t="shared" si="9"/>
        <v/>
      </c>
    </row>
    <row r="34" spans="1:30" ht="19.5" customHeight="1" x14ac:dyDescent="0.25">
      <c r="A34" s="27">
        <f>BEGINBLAD!D30</f>
        <v>0</v>
      </c>
      <c r="B34" s="51">
        <v>26</v>
      </c>
      <c r="C34" s="52" t="str">
        <f>BEGINBLAD!C30</f>
        <v>leerling 26</v>
      </c>
      <c r="D34" s="41"/>
      <c r="E34" s="43">
        <v>2.2999999999999998</v>
      </c>
      <c r="F34" s="43">
        <v>2.2999999999999998</v>
      </c>
      <c r="G34" s="43">
        <v>3.6</v>
      </c>
      <c r="H34" s="43"/>
      <c r="I34" s="450">
        <f t="shared" si="2"/>
        <v>8.1999999999999993</v>
      </c>
      <c r="J34" s="450">
        <f t="shared" si="3"/>
        <v>3</v>
      </c>
      <c r="K34" s="12"/>
      <c r="L34" s="747">
        <f t="shared" si="7"/>
        <v>2.7333333333333329</v>
      </c>
      <c r="M34" s="54" t="str">
        <f t="shared" si="8"/>
        <v>C-3</v>
      </c>
      <c r="N34" s="602"/>
      <c r="O34" s="603"/>
      <c r="P34" s="603"/>
      <c r="Q34" s="603" t="s">
        <v>401</v>
      </c>
      <c r="R34" s="26">
        <f>BEGINBLAD!D30</f>
        <v>0</v>
      </c>
      <c r="S34" s="51">
        <v>26</v>
      </c>
      <c r="T34" s="52" t="str">
        <f>BEGINBLAD!C30</f>
        <v>leerling 26</v>
      </c>
      <c r="U34" s="443"/>
      <c r="V34" s="443"/>
      <c r="W34" s="443"/>
      <c r="X34" s="443"/>
      <c r="Y34" s="443"/>
      <c r="Z34" s="450">
        <f t="shared" si="4"/>
        <v>0</v>
      </c>
      <c r="AA34" s="450">
        <f t="shared" si="5"/>
        <v>0</v>
      </c>
      <c r="AB34" s="12"/>
      <c r="AC34" s="453" t="str">
        <f t="shared" si="6"/>
        <v/>
      </c>
      <c r="AD34" s="452" t="str">
        <f t="shared" si="9"/>
        <v/>
      </c>
    </row>
    <row r="35" spans="1:30" s="4" customFormat="1" ht="19.5" customHeight="1" x14ac:dyDescent="0.25">
      <c r="A35" s="26">
        <f>BEGINBLAD!D31</f>
        <v>0</v>
      </c>
      <c r="B35" s="51">
        <v>27</v>
      </c>
      <c r="C35" s="52">
        <f>BEGINBLAD!C31</f>
        <v>0</v>
      </c>
      <c r="D35" s="42"/>
      <c r="E35" s="41"/>
      <c r="F35" s="43"/>
      <c r="G35" s="765"/>
      <c r="H35" s="43"/>
      <c r="I35" s="450">
        <f t="shared" si="2"/>
        <v>0</v>
      </c>
      <c r="J35" s="450">
        <f t="shared" si="3"/>
        <v>0</v>
      </c>
      <c r="K35" s="12"/>
      <c r="L35" s="747" t="str">
        <f t="shared" si="7"/>
        <v/>
      </c>
      <c r="M35" s="54" t="str">
        <f t="shared" si="8"/>
        <v/>
      </c>
      <c r="N35" s="602"/>
      <c r="O35" s="603"/>
      <c r="P35" s="603"/>
      <c r="Q35" s="603"/>
      <c r="R35" s="26">
        <f>BEGINBLAD!D31</f>
        <v>0</v>
      </c>
      <c r="S35" s="51">
        <v>27</v>
      </c>
      <c r="T35" s="52">
        <f>BEGINBLAD!C31</f>
        <v>0</v>
      </c>
      <c r="U35" s="443"/>
      <c r="V35" s="443"/>
      <c r="W35" s="443"/>
      <c r="X35" s="443"/>
      <c r="Y35" s="443"/>
      <c r="Z35" s="450">
        <f t="shared" si="4"/>
        <v>0</v>
      </c>
      <c r="AA35" s="450">
        <f t="shared" si="5"/>
        <v>0</v>
      </c>
      <c r="AB35" s="12"/>
      <c r="AC35" s="453" t="str">
        <f t="shared" si="6"/>
        <v/>
      </c>
      <c r="AD35" s="452" t="str">
        <f t="shared" si="9"/>
        <v/>
      </c>
    </row>
    <row r="36" spans="1:30" ht="19.5" customHeight="1" x14ac:dyDescent="0.25">
      <c r="A36" s="27">
        <f>BEGINBLAD!D32</f>
        <v>0</v>
      </c>
      <c r="B36" s="51">
        <v>28</v>
      </c>
      <c r="C36" s="52">
        <f>BEGINBLAD!C32</f>
        <v>0</v>
      </c>
      <c r="D36" s="43"/>
      <c r="E36" s="42"/>
      <c r="F36" s="41"/>
      <c r="G36" s="766"/>
      <c r="H36" s="43"/>
      <c r="I36" s="450">
        <f t="shared" si="2"/>
        <v>0</v>
      </c>
      <c r="J36" s="450">
        <f t="shared" si="3"/>
        <v>0</v>
      </c>
      <c r="K36" s="12"/>
      <c r="L36" s="747" t="str">
        <f t="shared" si="7"/>
        <v/>
      </c>
      <c r="M36" s="54" t="str">
        <f t="shared" si="8"/>
        <v/>
      </c>
      <c r="N36" s="602"/>
      <c r="O36" s="603"/>
      <c r="P36" s="603"/>
      <c r="Q36" s="603"/>
      <c r="R36" s="26">
        <f>BEGINBLAD!D32</f>
        <v>0</v>
      </c>
      <c r="S36" s="51">
        <v>28</v>
      </c>
      <c r="T36" s="52">
        <f>BEGINBLAD!C32</f>
        <v>0</v>
      </c>
      <c r="U36" s="443"/>
      <c r="V36" s="443"/>
      <c r="W36" s="443"/>
      <c r="X36" s="443"/>
      <c r="Y36" s="443"/>
      <c r="Z36" s="450">
        <f t="shared" si="4"/>
        <v>0</v>
      </c>
      <c r="AA36" s="450">
        <f t="shared" si="5"/>
        <v>0</v>
      </c>
      <c r="AB36" s="12"/>
      <c r="AC36" s="453" t="str">
        <f t="shared" si="6"/>
        <v/>
      </c>
      <c r="AD36" s="452" t="str">
        <f t="shared" si="9"/>
        <v/>
      </c>
    </row>
    <row r="37" spans="1:30" s="4" customFormat="1" ht="19.5" customHeight="1" x14ac:dyDescent="0.25">
      <c r="A37" s="26">
        <f>BEGINBLAD!D33</f>
        <v>0</v>
      </c>
      <c r="B37" s="51">
        <v>29</v>
      </c>
      <c r="C37" s="52">
        <f>BEGINBLAD!C33</f>
        <v>0</v>
      </c>
      <c r="D37" s="41"/>
      <c r="E37" s="42"/>
      <c r="F37" s="42"/>
      <c r="G37" s="765"/>
      <c r="H37" s="42"/>
      <c r="I37" s="450">
        <f t="shared" si="2"/>
        <v>0</v>
      </c>
      <c r="J37" s="450">
        <f t="shared" si="3"/>
        <v>0</v>
      </c>
      <c r="K37" s="12"/>
      <c r="L37" s="747" t="str">
        <f t="shared" si="7"/>
        <v/>
      </c>
      <c r="M37" s="54" t="str">
        <f t="shared" si="8"/>
        <v/>
      </c>
      <c r="N37" s="602"/>
      <c r="O37" s="603"/>
      <c r="P37" s="603"/>
      <c r="Q37" s="603"/>
      <c r="R37" s="26">
        <f>BEGINBLAD!D33</f>
        <v>0</v>
      </c>
      <c r="S37" s="51">
        <v>29</v>
      </c>
      <c r="T37" s="52">
        <f>BEGINBLAD!C33</f>
        <v>0</v>
      </c>
      <c r="U37" s="443"/>
      <c r="V37" s="443"/>
      <c r="W37" s="443"/>
      <c r="X37" s="443"/>
      <c r="Y37" s="443"/>
      <c r="Z37" s="450">
        <f t="shared" si="4"/>
        <v>0</v>
      </c>
      <c r="AA37" s="450">
        <f t="shared" si="5"/>
        <v>0</v>
      </c>
      <c r="AB37" s="12"/>
      <c r="AC37" s="453" t="str">
        <f t="shared" si="6"/>
        <v/>
      </c>
      <c r="AD37" s="452" t="str">
        <f t="shared" si="9"/>
        <v/>
      </c>
    </row>
    <row r="38" spans="1:30" ht="19.5" customHeight="1" x14ac:dyDescent="0.25">
      <c r="A38" s="27">
        <f>BEGINBLAD!D34</f>
        <v>0</v>
      </c>
      <c r="B38" s="51">
        <v>30</v>
      </c>
      <c r="C38" s="52">
        <f>BEGINBLAD!C34</f>
        <v>0</v>
      </c>
      <c r="D38" s="29"/>
      <c r="E38" s="30"/>
      <c r="F38" s="29"/>
      <c r="G38" s="29"/>
      <c r="H38" s="29"/>
      <c r="I38" s="450">
        <f t="shared" si="2"/>
        <v>0</v>
      </c>
      <c r="J38" s="450">
        <f t="shared" si="3"/>
        <v>0</v>
      </c>
      <c r="K38" s="12"/>
      <c r="L38" s="747" t="str">
        <f t="shared" si="7"/>
        <v/>
      </c>
      <c r="M38" s="54" t="str">
        <f t="shared" si="8"/>
        <v/>
      </c>
      <c r="N38" s="602"/>
      <c r="O38" s="603"/>
      <c r="P38" s="603"/>
      <c r="Q38" s="603"/>
      <c r="R38" s="26">
        <f>BEGINBLAD!D34</f>
        <v>0</v>
      </c>
      <c r="S38" s="51">
        <v>30</v>
      </c>
      <c r="T38" s="52">
        <f>BEGINBLAD!C34</f>
        <v>0</v>
      </c>
      <c r="U38" s="445"/>
      <c r="V38" s="443"/>
      <c r="W38" s="443"/>
      <c r="X38" s="443"/>
      <c r="Y38" s="443"/>
      <c r="Z38" s="450">
        <f t="shared" si="4"/>
        <v>0</v>
      </c>
      <c r="AA38" s="450">
        <f t="shared" si="5"/>
        <v>0</v>
      </c>
      <c r="AB38" s="12"/>
      <c r="AC38" s="453" t="str">
        <f t="shared" si="6"/>
        <v/>
      </c>
      <c r="AD38" s="452" t="str">
        <f t="shared" si="9"/>
        <v/>
      </c>
    </row>
    <row r="39" spans="1:30" s="4" customFormat="1" ht="19.5" customHeight="1" x14ac:dyDescent="0.25">
      <c r="A39" s="26">
        <f>BEGINBLAD!D35</f>
        <v>0</v>
      </c>
      <c r="B39" s="51">
        <v>31</v>
      </c>
      <c r="C39" s="52">
        <f>BEGINBLAD!C35</f>
        <v>0</v>
      </c>
      <c r="D39" s="29"/>
      <c r="E39" s="30"/>
      <c r="F39" s="29"/>
      <c r="G39" s="29"/>
      <c r="H39" s="29"/>
      <c r="I39" s="450">
        <f t="shared" si="2"/>
        <v>0</v>
      </c>
      <c r="J39" s="450">
        <f t="shared" si="3"/>
        <v>0</v>
      </c>
      <c r="K39" s="12"/>
      <c r="L39" s="747" t="str">
        <f t="shared" si="7"/>
        <v/>
      </c>
      <c r="M39" s="54" t="str">
        <f t="shared" si="8"/>
        <v/>
      </c>
      <c r="N39" s="602"/>
      <c r="O39" s="603"/>
      <c r="P39" s="603"/>
      <c r="Q39" s="603"/>
      <c r="R39" s="26">
        <f>BEGINBLAD!D35</f>
        <v>0</v>
      </c>
      <c r="S39" s="51">
        <v>31</v>
      </c>
      <c r="T39" s="52">
        <f>BEGINBLAD!C35</f>
        <v>0</v>
      </c>
      <c r="U39" s="445"/>
      <c r="V39" s="443"/>
      <c r="W39" s="443"/>
      <c r="X39" s="443"/>
      <c r="Y39" s="443"/>
      <c r="Z39" s="450">
        <f t="shared" si="4"/>
        <v>0</v>
      </c>
      <c r="AA39" s="450">
        <f t="shared" si="5"/>
        <v>0</v>
      </c>
      <c r="AB39" s="12"/>
      <c r="AC39" s="453" t="str">
        <f t="shared" si="6"/>
        <v/>
      </c>
      <c r="AD39" s="452" t="str">
        <f t="shared" si="9"/>
        <v/>
      </c>
    </row>
    <row r="40" spans="1:30" ht="19.5" customHeight="1" x14ac:dyDescent="0.25">
      <c r="A40" s="27">
        <f>BEGINBLAD!D36</f>
        <v>0</v>
      </c>
      <c r="B40" s="51">
        <v>32</v>
      </c>
      <c r="C40" s="52">
        <f>BEGINBLAD!C36</f>
        <v>0</v>
      </c>
      <c r="D40" s="29"/>
      <c r="E40" s="30"/>
      <c r="F40" s="29"/>
      <c r="G40" s="29"/>
      <c r="H40" s="29"/>
      <c r="I40" s="450">
        <f t="shared" si="2"/>
        <v>0</v>
      </c>
      <c r="J40" s="450">
        <f t="shared" si="3"/>
        <v>0</v>
      </c>
      <c r="K40" s="12"/>
      <c r="L40" s="747" t="str">
        <f t="shared" si="7"/>
        <v/>
      </c>
      <c r="M40" s="54" t="str">
        <f t="shared" si="8"/>
        <v/>
      </c>
      <c r="N40" s="602"/>
      <c r="O40" s="603"/>
      <c r="P40" s="603"/>
      <c r="Q40" s="603"/>
      <c r="R40" s="26">
        <f>BEGINBLAD!D36</f>
        <v>0</v>
      </c>
      <c r="S40" s="51">
        <v>32</v>
      </c>
      <c r="T40" s="52">
        <f>BEGINBLAD!C36</f>
        <v>0</v>
      </c>
      <c r="U40" s="445"/>
      <c r="V40" s="443"/>
      <c r="W40" s="443"/>
      <c r="X40" s="443"/>
      <c r="Y40" s="443"/>
      <c r="Z40" s="450">
        <f t="shared" si="4"/>
        <v>0</v>
      </c>
      <c r="AA40" s="450">
        <f t="shared" si="5"/>
        <v>0</v>
      </c>
      <c r="AB40" s="12"/>
      <c r="AC40" s="453" t="str">
        <f t="shared" si="6"/>
        <v/>
      </c>
      <c r="AD40" s="452" t="str">
        <f t="shared" si="9"/>
        <v/>
      </c>
    </row>
    <row r="41" spans="1:30" s="4" customFormat="1" ht="19.5" customHeight="1" x14ac:dyDescent="0.25">
      <c r="A41" s="26">
        <f>BEGINBLAD!D37</f>
        <v>0</v>
      </c>
      <c r="B41" s="51">
        <v>33</v>
      </c>
      <c r="C41" s="52">
        <f>BEGINBLAD!C37</f>
        <v>0</v>
      </c>
      <c r="D41" s="29"/>
      <c r="E41" s="30"/>
      <c r="F41" s="29"/>
      <c r="G41" s="29"/>
      <c r="H41" s="29"/>
      <c r="I41" s="450">
        <f t="shared" si="2"/>
        <v>0</v>
      </c>
      <c r="J41" s="450">
        <f t="shared" si="3"/>
        <v>0</v>
      </c>
      <c r="K41" s="12"/>
      <c r="L41" s="747" t="str">
        <f t="shared" si="7"/>
        <v/>
      </c>
      <c r="M41" s="54" t="str">
        <f t="shared" si="8"/>
        <v/>
      </c>
      <c r="N41" s="602"/>
      <c r="O41" s="603"/>
      <c r="P41" s="603"/>
      <c r="Q41" s="603"/>
      <c r="R41" s="26">
        <f>BEGINBLAD!D37</f>
        <v>0</v>
      </c>
      <c r="S41" s="51">
        <v>33</v>
      </c>
      <c r="T41" s="52">
        <f>BEGINBLAD!C37</f>
        <v>0</v>
      </c>
      <c r="U41" s="445"/>
      <c r="V41" s="443"/>
      <c r="W41" s="443"/>
      <c r="X41" s="443"/>
      <c r="Y41" s="443"/>
      <c r="Z41" s="450">
        <f t="shared" si="4"/>
        <v>0</v>
      </c>
      <c r="AA41" s="450">
        <f t="shared" si="5"/>
        <v>0</v>
      </c>
      <c r="AB41" s="12"/>
      <c r="AC41" s="453" t="str">
        <f t="shared" si="6"/>
        <v/>
      </c>
      <c r="AD41" s="452" t="str">
        <f t="shared" si="9"/>
        <v/>
      </c>
    </row>
    <row r="42" spans="1:30" s="4" customFormat="1" ht="19.5" customHeight="1" x14ac:dyDescent="0.25">
      <c r="A42" s="26"/>
      <c r="B42" s="51">
        <v>34</v>
      </c>
      <c r="C42" s="52">
        <f>BEGINBLAD!C38</f>
        <v>0</v>
      </c>
      <c r="D42" s="29"/>
      <c r="E42" s="30"/>
      <c r="F42" s="29"/>
      <c r="G42" s="29"/>
      <c r="H42" s="29"/>
      <c r="I42" s="450">
        <f t="shared" si="2"/>
        <v>0</v>
      </c>
      <c r="J42" s="450">
        <f t="shared" si="3"/>
        <v>0</v>
      </c>
      <c r="K42" s="12"/>
      <c r="L42" s="747" t="str">
        <f t="shared" si="7"/>
        <v/>
      </c>
      <c r="M42" s="54" t="str">
        <f t="shared" si="8"/>
        <v/>
      </c>
      <c r="N42" s="602"/>
      <c r="O42" s="603"/>
      <c r="P42" s="603"/>
      <c r="Q42" s="603"/>
      <c r="R42" s="26">
        <f>BEGINBLAD!D38</f>
        <v>0</v>
      </c>
      <c r="S42" s="51">
        <v>34</v>
      </c>
      <c r="T42" s="52">
        <f>BEGINBLAD!C38</f>
        <v>0</v>
      </c>
      <c r="U42" s="445"/>
      <c r="V42" s="443"/>
      <c r="W42" s="443"/>
      <c r="X42" s="443"/>
      <c r="Y42" s="443"/>
      <c r="Z42" s="450">
        <f t="shared" si="4"/>
        <v>0</v>
      </c>
      <c r="AA42" s="450">
        <f t="shared" si="5"/>
        <v>0</v>
      </c>
      <c r="AB42" s="12"/>
      <c r="AC42" s="453" t="str">
        <f t="shared" si="6"/>
        <v/>
      </c>
      <c r="AD42" s="452" t="str">
        <f t="shared" si="9"/>
        <v/>
      </c>
    </row>
    <row r="43" spans="1:30" ht="19.5" customHeight="1" x14ac:dyDescent="0.25">
      <c r="A43" s="27">
        <f>BEGINBLAD!D38</f>
        <v>0</v>
      </c>
      <c r="B43" s="51">
        <v>35</v>
      </c>
      <c r="C43" s="52">
        <f>BEGINBLAD!C39</f>
        <v>0</v>
      </c>
      <c r="D43" s="29"/>
      <c r="E43" s="30"/>
      <c r="F43" s="29"/>
      <c r="G43" s="29"/>
      <c r="H43" s="29"/>
      <c r="I43" s="450">
        <f t="shared" si="2"/>
        <v>0</v>
      </c>
      <c r="J43" s="450">
        <f t="shared" si="3"/>
        <v>0</v>
      </c>
      <c r="K43" s="12"/>
      <c r="L43" s="747" t="str">
        <f t="shared" si="7"/>
        <v/>
      </c>
      <c r="M43" s="54" t="str">
        <f t="shared" si="8"/>
        <v/>
      </c>
      <c r="N43" s="602"/>
      <c r="O43" s="603"/>
      <c r="P43" s="603"/>
      <c r="Q43" s="603"/>
      <c r="R43" s="26">
        <f>BEGINBLAD!D39</f>
        <v>0</v>
      </c>
      <c r="S43" s="51">
        <v>35</v>
      </c>
      <c r="T43" s="52">
        <f>BEGINBLAD!C39</f>
        <v>0</v>
      </c>
      <c r="U43" s="445"/>
      <c r="V43" s="443"/>
      <c r="W43" s="443"/>
      <c r="X43" s="443"/>
      <c r="Y43" s="443"/>
      <c r="Z43" s="450">
        <f t="shared" si="4"/>
        <v>0</v>
      </c>
      <c r="AA43" s="450">
        <f t="shared" si="5"/>
        <v>0</v>
      </c>
      <c r="AB43" s="12"/>
      <c r="AC43" s="453" t="str">
        <f t="shared" si="6"/>
        <v/>
      </c>
      <c r="AD43" s="452" t="str">
        <f t="shared" si="9"/>
        <v/>
      </c>
    </row>
    <row r="44" spans="1:30" s="4" customFormat="1" ht="19.5" customHeight="1" x14ac:dyDescent="0.25">
      <c r="A44" s="26">
        <f>BEGINBLAD!D39</f>
        <v>0</v>
      </c>
      <c r="B44" s="51">
        <v>36</v>
      </c>
      <c r="C44" s="52">
        <f>BEGINBLAD!C40</f>
        <v>0</v>
      </c>
      <c r="D44" s="29"/>
      <c r="E44" s="30"/>
      <c r="F44" s="29"/>
      <c r="G44" s="29"/>
      <c r="H44" s="29"/>
      <c r="I44" s="450">
        <f t="shared" si="2"/>
        <v>0</v>
      </c>
      <c r="J44" s="450">
        <f t="shared" si="3"/>
        <v>0</v>
      </c>
      <c r="K44" s="12"/>
      <c r="L44" s="747" t="str">
        <f t="shared" si="7"/>
        <v/>
      </c>
      <c r="M44" s="54" t="str">
        <f t="shared" si="8"/>
        <v/>
      </c>
      <c r="N44" s="602"/>
      <c r="O44" s="603"/>
      <c r="P44" s="603"/>
      <c r="Q44" s="603"/>
      <c r="R44" s="26">
        <f>BEGINBLAD!D40</f>
        <v>0</v>
      </c>
      <c r="S44" s="51">
        <v>36</v>
      </c>
      <c r="T44" s="52">
        <f>BEGINBLAD!C40</f>
        <v>0</v>
      </c>
      <c r="U44" s="445"/>
      <c r="V44" s="443"/>
      <c r="W44" s="443"/>
      <c r="X44" s="443"/>
      <c r="Y44" s="443"/>
      <c r="Z44" s="450">
        <f t="shared" si="4"/>
        <v>0</v>
      </c>
      <c r="AA44" s="450">
        <f t="shared" si="5"/>
        <v>0</v>
      </c>
      <c r="AB44" s="12"/>
      <c r="AC44" s="453" t="str">
        <f t="shared" si="6"/>
        <v/>
      </c>
      <c r="AD44" s="452" t="str">
        <f t="shared" si="9"/>
        <v/>
      </c>
    </row>
    <row r="45" spans="1:30" ht="19.5" customHeight="1" x14ac:dyDescent="0.25">
      <c r="C45" s="13" t="s">
        <v>9</v>
      </c>
      <c r="D45" s="755" t="e">
        <f>AVERAGE(D9:D44)</f>
        <v>#DIV/0!</v>
      </c>
      <c r="E45" s="755">
        <f t="shared" ref="E45:M45" si="10">AVERAGE(E9:E44)</f>
        <v>3.8269230769230771</v>
      </c>
      <c r="F45" s="755">
        <f t="shared" si="10"/>
        <v>2.9230769230769225</v>
      </c>
      <c r="G45" s="755">
        <f t="shared" si="10"/>
        <v>3.3692307692307697</v>
      </c>
      <c r="H45" s="755" t="e">
        <f t="shared" si="10"/>
        <v>#DIV/0!</v>
      </c>
      <c r="I45" s="755">
        <f t="shared" si="10"/>
        <v>7.3083333333333327</v>
      </c>
      <c r="J45" s="755">
        <f t="shared" si="10"/>
        <v>2.1666666666666665</v>
      </c>
      <c r="K45" s="756"/>
      <c r="L45" s="755">
        <f t="shared" si="10"/>
        <v>3.3730769230769231</v>
      </c>
      <c r="M45" s="755" t="e">
        <f t="shared" si="10"/>
        <v>#DIV/0!</v>
      </c>
      <c r="N45" s="604" t="s">
        <v>403</v>
      </c>
      <c r="O45" s="605">
        <f>O49/C47</f>
        <v>0.88461538461538458</v>
      </c>
      <c r="P45" s="605">
        <f>P49/C47</f>
        <v>0.96153846153846156</v>
      </c>
      <c r="Q45" s="605">
        <f>Q49/C47</f>
        <v>0.84615384615384615</v>
      </c>
      <c r="T45" s="13" t="s">
        <v>9</v>
      </c>
      <c r="U45" s="751" t="e">
        <f t="shared" ref="U45:X45" si="11">AVERAGE(U9:U44)</f>
        <v>#DIV/0!</v>
      </c>
      <c r="V45" s="751" t="e">
        <f t="shared" si="11"/>
        <v>#DIV/0!</v>
      </c>
      <c r="W45" s="751" t="e">
        <f t="shared" si="11"/>
        <v>#DIV/0!</v>
      </c>
      <c r="X45" s="751" t="e">
        <f t="shared" si="11"/>
        <v>#DIV/0!</v>
      </c>
      <c r="Y45" s="751" t="e">
        <f t="shared" ref="Y45:AA45" si="12">AVERAGE(Y9:Y44)</f>
        <v>#DIV/0!</v>
      </c>
      <c r="Z45" s="751">
        <f t="shared" si="12"/>
        <v>0</v>
      </c>
      <c r="AA45" s="751">
        <f t="shared" si="12"/>
        <v>0</v>
      </c>
      <c r="AB45" s="752"/>
      <c r="AC45" s="751" t="e">
        <f>AVERAGE(AC9:AC44)</f>
        <v>#DIV/0!</v>
      </c>
      <c r="AD45" s="757"/>
    </row>
    <row r="46" spans="1:30" ht="19.5" customHeight="1" x14ac:dyDescent="0.25">
      <c r="C46" s="13" t="s">
        <v>10</v>
      </c>
      <c r="D46" s="753" t="e">
        <f>IF(D45="","",IF(D45&gt;4.5,"A-1+",IF(D45&gt;4,"A-1",IF(D45&gt;=4,"A-2",IF(D45&gt;3.4,"B-2",IF(D45&gt;=3,"B-3",IF(D45&gt;2.5,"C-3",IF(D45&gt;=2,"C-4",IF(D45&gt;1.6,"D-4",IF(D45&gt;=1,"D-5",IF(D45&gt;0.5,"E-5",IF(D45&gt;=0,"E-5-"))))))))))))</f>
        <v>#DIV/0!</v>
      </c>
      <c r="E46" s="753" t="str">
        <f t="shared" ref="E46:M46" si="13">IF(E45="","",IF(E45&gt;4.5,"A-1+",IF(E45&gt;4,"A-1",IF(E45&gt;=4,"A-2",IF(E45&gt;3.4,"B-2",IF(E45&gt;=3,"B-3",IF(E45&gt;2.5,"C-3",IF(E45&gt;=2,"C-4",IF(E45&gt;1.6,"D-4",IF(E45&gt;=1,"D-5",IF(E45&gt;0.5,"E-5",IF(E45&gt;=0,"E-5-"))))))))))))</f>
        <v>B-2</v>
      </c>
      <c r="F46" s="753" t="str">
        <f t="shared" si="13"/>
        <v>C-3</v>
      </c>
      <c r="G46" s="753" t="str">
        <f t="shared" si="13"/>
        <v>B-3</v>
      </c>
      <c r="H46" s="753" t="e">
        <f t="shared" si="13"/>
        <v>#DIV/0!</v>
      </c>
      <c r="I46" s="753" t="str">
        <f t="shared" si="13"/>
        <v>A-1+</v>
      </c>
      <c r="J46" s="753" t="str">
        <f t="shared" si="13"/>
        <v>C-4</v>
      </c>
      <c r="K46" s="754"/>
      <c r="L46" s="753" t="str">
        <f t="shared" si="13"/>
        <v>B-3</v>
      </c>
      <c r="M46" s="753" t="e">
        <f t="shared" si="13"/>
        <v>#DIV/0!</v>
      </c>
      <c r="N46" s="604" t="s">
        <v>404</v>
      </c>
      <c r="O46" s="605">
        <f>O48/C47</f>
        <v>0.42307692307692307</v>
      </c>
      <c r="P46" s="605">
        <f>P48/C47</f>
        <v>0.65384615384615385</v>
      </c>
      <c r="Q46" s="605">
        <f>Q48/C47</f>
        <v>0.34615384615384615</v>
      </c>
      <c r="T46" s="598"/>
      <c r="U46" s="14"/>
      <c r="V46" s="14"/>
      <c r="W46" s="14"/>
      <c r="X46" s="14"/>
      <c r="Y46" s="14"/>
      <c r="Z46" s="14"/>
      <c r="AA46" s="14"/>
      <c r="AB46" s="14"/>
      <c r="AC46" s="14"/>
    </row>
    <row r="47" spans="1:30" x14ac:dyDescent="0.25">
      <c r="C47" s="6">
        <f>BEGINBLAD!$D$41</f>
        <v>26</v>
      </c>
      <c r="N47" s="606" t="s">
        <v>401</v>
      </c>
      <c r="O47" s="606">
        <f>COUNTIF(O9:O44,"1F")</f>
        <v>12</v>
      </c>
      <c r="P47" s="606">
        <f t="shared" ref="P47:Q47" si="14">COUNTIF(P9:P44,"1F")</f>
        <v>8</v>
      </c>
      <c r="Q47" s="606">
        <f t="shared" si="14"/>
        <v>13</v>
      </c>
      <c r="T47" s="6">
        <f>BEGINBLAD!$D$41</f>
        <v>26</v>
      </c>
    </row>
    <row r="48" spans="1:30" s="24" customFormat="1" ht="12.75" customHeight="1" x14ac:dyDescent="0.25">
      <c r="B48" s="23"/>
      <c r="C48" s="758" t="s">
        <v>431</v>
      </c>
      <c r="D48" s="759" t="e">
        <f>LARGE(D9:D44,D50)</f>
        <v>#NUM!</v>
      </c>
      <c r="E48" s="759">
        <f t="shared" ref="E48:H48" si="15">LARGE(E9:E44,E50)</f>
        <v>4.9000000000000004</v>
      </c>
      <c r="F48" s="759">
        <f t="shared" si="15"/>
        <v>3.6</v>
      </c>
      <c r="G48" s="759">
        <f t="shared" si="15"/>
        <v>4.3</v>
      </c>
      <c r="H48" s="759" t="e">
        <f t="shared" si="15"/>
        <v>#NUM!</v>
      </c>
      <c r="I48" s="5"/>
      <c r="J48" s="5"/>
      <c r="K48" s="5"/>
      <c r="L48" s="21"/>
      <c r="M48" s="21"/>
      <c r="N48" s="606" t="s">
        <v>405</v>
      </c>
      <c r="O48" s="606">
        <f>COUNTIF(O9:O44,"2F/1S")</f>
        <v>11</v>
      </c>
      <c r="P48" s="606">
        <f t="shared" ref="P48:Q48" si="16">COUNTIF(P9:P44,"2F/1S")</f>
        <v>17</v>
      </c>
      <c r="Q48" s="606">
        <f t="shared" si="16"/>
        <v>9</v>
      </c>
      <c r="R48" s="2"/>
      <c r="S48" s="7"/>
      <c r="T48" s="6"/>
      <c r="U48" s="3"/>
      <c r="V48" s="3"/>
      <c r="W48" s="3"/>
      <c r="X48" s="3"/>
      <c r="Y48" s="3"/>
      <c r="Z48" s="3"/>
      <c r="AA48" s="3"/>
      <c r="AB48" s="3"/>
      <c r="AC48" s="3"/>
      <c r="AD48" s="3"/>
    </row>
    <row r="49" spans="2:30" s="24" customFormat="1" ht="12.75" customHeight="1" x14ac:dyDescent="0.25">
      <c r="B49" s="23"/>
      <c r="C49" s="758" t="s">
        <v>432</v>
      </c>
      <c r="D49" s="759" t="e">
        <f>SMALL(D9:D44,D50)</f>
        <v>#NUM!</v>
      </c>
      <c r="E49" s="759">
        <f t="shared" ref="E49:H49" si="17">SMALL(E9:E44,E50)</f>
        <v>2.5</v>
      </c>
      <c r="F49" s="759">
        <f t="shared" si="17"/>
        <v>2.2999999999999998</v>
      </c>
      <c r="G49" s="759">
        <f t="shared" si="17"/>
        <v>2.6</v>
      </c>
      <c r="H49" s="759" t="e">
        <f t="shared" si="17"/>
        <v>#NUM!</v>
      </c>
      <c r="I49" s="5"/>
      <c r="J49" s="5"/>
      <c r="K49" s="5"/>
      <c r="L49" s="21"/>
      <c r="M49" s="21"/>
      <c r="N49" s="675"/>
      <c r="O49" s="675">
        <f>SUM(O47:O48)</f>
        <v>23</v>
      </c>
      <c r="P49" s="675">
        <f t="shared" ref="P49:Q49" si="18">SUM(P47:P48)</f>
        <v>25</v>
      </c>
      <c r="Q49" s="675">
        <f t="shared" si="18"/>
        <v>22</v>
      </c>
      <c r="R49" s="2"/>
      <c r="S49" s="7"/>
      <c r="T49" s="6"/>
      <c r="U49" s="3"/>
      <c r="V49" s="3"/>
      <c r="W49" s="3"/>
      <c r="X49" s="3"/>
      <c r="Y49" s="3"/>
      <c r="Z49" s="3"/>
      <c r="AA49" s="3"/>
      <c r="AB49" s="3"/>
      <c r="AC49" s="3"/>
      <c r="AD49" s="3"/>
    </row>
    <row r="50" spans="2:30" s="24" customFormat="1" ht="12.75" customHeight="1" x14ac:dyDescent="0.25">
      <c r="B50" s="23"/>
      <c r="C50" s="760">
        <v>0.25</v>
      </c>
      <c r="D50" s="759">
        <f>D51*0.25</f>
        <v>0</v>
      </c>
      <c r="E50" s="759">
        <f t="shared" ref="E50:H50" si="19">E51*0.25</f>
        <v>6.5</v>
      </c>
      <c r="F50" s="759">
        <f t="shared" si="19"/>
        <v>6.5</v>
      </c>
      <c r="G50" s="759">
        <f t="shared" si="19"/>
        <v>6.5</v>
      </c>
      <c r="H50" s="759">
        <f t="shared" si="19"/>
        <v>0</v>
      </c>
      <c r="I50" s="20"/>
      <c r="J50" s="20"/>
      <c r="K50" s="20"/>
      <c r="L50" s="20"/>
      <c r="M50" s="20"/>
      <c r="N50" s="184"/>
      <c r="O50" s="184"/>
      <c r="P50" s="184"/>
      <c r="Q50" s="184"/>
      <c r="R50" s="2"/>
      <c r="S50" s="7"/>
      <c r="T50" s="6"/>
      <c r="U50" s="3"/>
      <c r="V50" s="3"/>
      <c r="W50" s="3"/>
      <c r="X50" s="3"/>
      <c r="Y50" s="3"/>
      <c r="Z50" s="3"/>
      <c r="AA50" s="3"/>
      <c r="AB50" s="3"/>
      <c r="AC50" s="3"/>
      <c r="AD50" s="3"/>
    </row>
    <row r="51" spans="2:30" s="24" customFormat="1" ht="12.75" customHeight="1" x14ac:dyDescent="0.25">
      <c r="B51" s="23"/>
      <c r="C51" s="760" t="s">
        <v>433</v>
      </c>
      <c r="D51" s="759">
        <f>COUNT(D9:D44)</f>
        <v>0</v>
      </c>
      <c r="E51" s="759">
        <f t="shared" ref="E51:H51" si="20">COUNT(E9:E44)</f>
        <v>26</v>
      </c>
      <c r="F51" s="759">
        <f t="shared" si="20"/>
        <v>26</v>
      </c>
      <c r="G51" s="759">
        <f t="shared" si="20"/>
        <v>26</v>
      </c>
      <c r="H51" s="759">
        <f t="shared" si="20"/>
        <v>0</v>
      </c>
      <c r="I51" s="20"/>
      <c r="J51" s="20"/>
      <c r="K51" s="20"/>
      <c r="L51" s="20"/>
      <c r="M51" s="20"/>
      <c r="N51" s="184"/>
      <c r="O51" s="184"/>
      <c r="P51" s="184"/>
      <c r="Q51" s="184"/>
      <c r="R51" s="2"/>
      <c r="S51" s="7"/>
      <c r="T51" s="6"/>
      <c r="U51" s="3"/>
      <c r="V51" s="3"/>
      <c r="W51" s="3"/>
      <c r="X51" s="3"/>
      <c r="Y51" s="3"/>
      <c r="Z51" s="3"/>
      <c r="AA51" s="3"/>
      <c r="AB51" s="3"/>
      <c r="AC51" s="3"/>
      <c r="AD51" s="3"/>
    </row>
    <row r="52" spans="2:30" s="24" customFormat="1" ht="12.75" customHeight="1" x14ac:dyDescent="0.25">
      <c r="B52" s="23"/>
      <c r="C52" s="758"/>
      <c r="D52" s="759"/>
      <c r="E52" s="759"/>
      <c r="F52" s="759"/>
      <c r="G52" s="759"/>
      <c r="H52" s="759"/>
      <c r="I52" s="20"/>
      <c r="J52" s="20"/>
      <c r="K52" s="20"/>
      <c r="L52" s="20"/>
      <c r="M52" s="20"/>
      <c r="N52" s="184"/>
      <c r="O52" s="184"/>
      <c r="P52" s="184"/>
      <c r="Q52" s="184"/>
      <c r="R52" s="2"/>
      <c r="S52" s="7"/>
      <c r="T52" s="6"/>
      <c r="U52" s="3"/>
      <c r="V52" s="3"/>
      <c r="W52" s="3"/>
      <c r="X52" s="3"/>
      <c r="Y52" s="3"/>
      <c r="Z52" s="3"/>
      <c r="AA52" s="3"/>
      <c r="AB52" s="3"/>
      <c r="AC52" s="3"/>
      <c r="AD52" s="3"/>
    </row>
    <row r="53" spans="2:30" s="24" customFormat="1" ht="12.75" customHeight="1" x14ac:dyDescent="0.25">
      <c r="B53" s="23"/>
      <c r="C53" s="677"/>
      <c r="D53" s="678"/>
      <c r="E53" s="678"/>
      <c r="F53" s="678"/>
      <c r="G53" s="678"/>
      <c r="H53" s="678"/>
      <c r="I53" s="20"/>
      <c r="J53" s="20"/>
      <c r="K53" s="20"/>
      <c r="L53" s="20"/>
      <c r="M53" s="20"/>
      <c r="N53" s="184"/>
      <c r="O53" s="184"/>
      <c r="P53" s="184"/>
      <c r="Q53" s="184"/>
      <c r="R53" s="2"/>
      <c r="S53" s="7"/>
      <c r="T53" s="6"/>
      <c r="U53" s="3"/>
      <c r="V53" s="3"/>
      <c r="W53" s="3"/>
      <c r="X53" s="3"/>
      <c r="Y53" s="3"/>
      <c r="Z53" s="3"/>
      <c r="AA53" s="3"/>
      <c r="AB53" s="3"/>
      <c r="AC53" s="3"/>
      <c r="AD53" s="3"/>
    </row>
    <row r="54" spans="2:30" s="24" customFormat="1" ht="12.75" customHeight="1" x14ac:dyDescent="0.25">
      <c r="B54" s="23"/>
      <c r="C54" s="677"/>
      <c r="D54" s="678"/>
      <c r="E54" s="678"/>
      <c r="F54" s="678"/>
      <c r="G54" s="678"/>
      <c r="H54" s="678"/>
      <c r="I54" s="20"/>
      <c r="J54" s="20"/>
      <c r="K54" s="20"/>
      <c r="L54" s="20"/>
      <c r="M54" s="20"/>
      <c r="N54" s="184"/>
      <c r="O54" s="184"/>
      <c r="P54" s="184"/>
      <c r="Q54" s="184"/>
      <c r="R54" s="2"/>
      <c r="S54" s="7"/>
      <c r="T54" s="6"/>
      <c r="U54" s="3"/>
      <c r="V54" s="3"/>
      <c r="W54" s="3"/>
      <c r="X54" s="3"/>
      <c r="Y54" s="3"/>
      <c r="Z54" s="3"/>
      <c r="AA54" s="3"/>
      <c r="AB54" s="3"/>
      <c r="AC54" s="3"/>
      <c r="AD54" s="3"/>
    </row>
    <row r="55" spans="2:30" s="24" customFormat="1" ht="12.75" customHeight="1" x14ac:dyDescent="0.25">
      <c r="B55" s="23"/>
      <c r="C55" s="677"/>
      <c r="D55" s="678"/>
      <c r="E55" s="678"/>
      <c r="F55" s="678"/>
      <c r="G55" s="678"/>
      <c r="H55" s="678"/>
      <c r="I55" s="20"/>
      <c r="J55" s="20"/>
      <c r="K55" s="20"/>
      <c r="L55" s="20"/>
      <c r="M55" s="20"/>
      <c r="N55" s="184"/>
      <c r="O55" s="184"/>
      <c r="P55" s="184"/>
      <c r="Q55" s="184"/>
      <c r="R55" s="2"/>
      <c r="S55" s="7"/>
      <c r="T55" s="6"/>
      <c r="U55" s="3"/>
      <c r="V55" s="3"/>
      <c r="W55" s="3"/>
      <c r="X55" s="3"/>
      <c r="Y55" s="3"/>
      <c r="Z55" s="3"/>
      <c r="AA55" s="3"/>
      <c r="AB55" s="3"/>
      <c r="AC55" s="3"/>
      <c r="AD55" s="3"/>
    </row>
    <row r="56" spans="2:30" s="24" customFormat="1" ht="12.75" customHeight="1" x14ac:dyDescent="0.25">
      <c r="B56" s="23"/>
      <c r="C56" s="677"/>
      <c r="D56" s="678"/>
      <c r="E56" s="678"/>
      <c r="F56" s="678"/>
      <c r="G56" s="678"/>
      <c r="H56" s="678"/>
      <c r="I56" s="20"/>
      <c r="J56" s="20"/>
      <c r="K56" s="20"/>
      <c r="L56" s="20"/>
      <c r="M56" s="20"/>
      <c r="N56" s="184"/>
      <c r="O56" s="184"/>
      <c r="P56" s="184"/>
      <c r="Q56" s="184"/>
      <c r="R56" s="2"/>
      <c r="S56" s="7"/>
      <c r="T56" s="6"/>
      <c r="U56" s="3"/>
      <c r="V56" s="3"/>
      <c r="W56" s="3"/>
      <c r="X56" s="3"/>
      <c r="Y56" s="3"/>
      <c r="Z56" s="3"/>
      <c r="AA56" s="3"/>
      <c r="AB56" s="3"/>
      <c r="AC56" s="3"/>
      <c r="AD56" s="3"/>
    </row>
    <row r="57" spans="2:30" s="24" customFormat="1" ht="12.75" customHeight="1" x14ac:dyDescent="0.25">
      <c r="B57" s="23"/>
      <c r="C57" s="22"/>
      <c r="D57" s="25"/>
      <c r="E57" s="25"/>
      <c r="F57" s="25"/>
      <c r="G57" s="25"/>
      <c r="H57" s="25"/>
      <c r="I57" s="20"/>
      <c r="J57" s="20"/>
      <c r="K57" s="20"/>
      <c r="L57" s="20"/>
      <c r="M57" s="20"/>
      <c r="N57" s="184"/>
      <c r="O57" s="184"/>
      <c r="P57" s="184"/>
      <c r="Q57" s="184"/>
      <c r="R57" s="2"/>
      <c r="S57" s="7"/>
      <c r="T57" s="6"/>
      <c r="U57" s="3"/>
      <c r="V57" s="3"/>
      <c r="W57" s="3"/>
      <c r="X57" s="3"/>
      <c r="Y57" s="3"/>
      <c r="Z57" s="3"/>
      <c r="AA57" s="3"/>
      <c r="AB57" s="3"/>
      <c r="AC57" s="3"/>
      <c r="AD57" s="3"/>
    </row>
    <row r="58" spans="2:30" s="24" customFormat="1" ht="12.75" customHeight="1" x14ac:dyDescent="0.25">
      <c r="B58" s="23"/>
      <c r="C58" s="22"/>
      <c r="D58" s="25"/>
      <c r="E58" s="25"/>
      <c r="F58" s="25"/>
      <c r="G58" s="25"/>
      <c r="H58" s="25"/>
      <c r="I58" s="20"/>
      <c r="J58" s="20"/>
      <c r="K58" s="20"/>
      <c r="L58" s="20"/>
      <c r="M58" s="20"/>
      <c r="N58" s="184"/>
      <c r="O58" s="184"/>
      <c r="P58" s="184"/>
      <c r="Q58" s="184"/>
      <c r="R58" s="2"/>
      <c r="S58" s="7"/>
      <c r="T58" s="6"/>
      <c r="U58" s="3"/>
      <c r="V58" s="3"/>
      <c r="W58" s="3"/>
      <c r="X58" s="3"/>
      <c r="Y58" s="3"/>
      <c r="Z58" s="3"/>
      <c r="AA58" s="3"/>
      <c r="AB58" s="3"/>
      <c r="AC58" s="3"/>
      <c r="AD58" s="3"/>
    </row>
    <row r="59" spans="2:30" s="24" customFormat="1" ht="12.75" customHeight="1" x14ac:dyDescent="0.25">
      <c r="B59" s="23"/>
      <c r="C59" s="22"/>
      <c r="D59" s="25"/>
      <c r="E59" s="25"/>
      <c r="F59" s="25"/>
      <c r="G59" s="25"/>
      <c r="H59" s="25"/>
      <c r="I59" s="20"/>
      <c r="J59" s="20"/>
      <c r="K59" s="20"/>
      <c r="L59" s="20"/>
      <c r="M59" s="20"/>
      <c r="N59" s="599"/>
      <c r="O59" s="599"/>
      <c r="P59" s="599"/>
      <c r="Q59" s="599"/>
      <c r="R59" s="2"/>
      <c r="S59" s="7"/>
      <c r="T59" s="6"/>
      <c r="U59" s="3"/>
      <c r="V59" s="3"/>
      <c r="W59" s="3"/>
      <c r="X59" s="3"/>
      <c r="Y59" s="3"/>
      <c r="Z59" s="3"/>
      <c r="AA59" s="3"/>
      <c r="AB59" s="3"/>
      <c r="AC59" s="3"/>
      <c r="AD59" s="3"/>
    </row>
    <row r="60" spans="2:30" ht="12.75" customHeight="1" x14ac:dyDescent="0.25"/>
    <row r="61" spans="2:30" ht="12.75" customHeight="1" x14ac:dyDescent="0.25"/>
    <row r="62" spans="2:30" ht="12.75" customHeight="1" x14ac:dyDescent="0.25"/>
    <row r="63" spans="2:30" ht="12.75" customHeight="1" x14ac:dyDescent="0.25"/>
    <row r="64" spans="2:30" ht="12.75" customHeight="1" x14ac:dyDescent="0.25"/>
    <row r="65" ht="12.75" customHeight="1" x14ac:dyDescent="0.25"/>
    <row r="66" ht="12.75" customHeight="1" x14ac:dyDescent="0.25"/>
    <row r="67" ht="12.75" customHeight="1" x14ac:dyDescent="0.25"/>
  </sheetData>
  <sheetProtection sheet="1" objects="1" scenarios="1"/>
  <mergeCells count="2">
    <mergeCell ref="D2:H2"/>
    <mergeCell ref="O2:Q6"/>
  </mergeCells>
  <phoneticPr fontId="7" type="noConversion"/>
  <conditionalFormatting sqref="C9:C44">
    <cfRule type="expression" dxfId="1221" priority="859" stopIfTrue="1">
      <formula>$M9=""</formula>
    </cfRule>
    <cfRule type="expression" dxfId="1220" priority="860" stopIfTrue="1">
      <formula>$M9="A+"</formula>
    </cfRule>
  </conditionalFormatting>
  <conditionalFormatting sqref="A8:A44">
    <cfRule type="cellIs" dxfId="1219" priority="837" operator="greaterThan">
      <formula>0</formula>
    </cfRule>
  </conditionalFormatting>
  <conditionalFormatting sqref="D41:H44 D39:F40">
    <cfRule type="cellIs" dxfId="1218" priority="815" stopIfTrue="1" operator="between">
      <formula>0.1</formula>
      <formula>1.9</formula>
    </cfRule>
    <cfRule type="cellIs" dxfId="1217" priority="816" stopIfTrue="1" operator="between">
      <formula>3</formula>
      <formula>3.9</formula>
    </cfRule>
    <cfRule type="cellIs" dxfId="1216" priority="817" stopIfTrue="1" operator="between">
      <formula>4</formula>
      <formula>5</formula>
    </cfRule>
  </conditionalFormatting>
  <conditionalFormatting sqref="D41:H44 D39:F40">
    <cfRule type="cellIs" dxfId="1215" priority="814" operator="between">
      <formula>2</formula>
      <formula>2.9</formula>
    </cfRule>
  </conditionalFormatting>
  <conditionalFormatting sqref="D41:H44 D39:F40">
    <cfRule type="cellIs" dxfId="1214" priority="650" operator="equal">
      <formula>""</formula>
    </cfRule>
  </conditionalFormatting>
  <conditionalFormatting sqref="D37:F38">
    <cfRule type="cellIs" dxfId="1213" priority="580" stopIfTrue="1" operator="between">
      <formula>0.1</formula>
      <formula>1.9</formula>
    </cfRule>
    <cfRule type="cellIs" dxfId="1212" priority="581" stopIfTrue="1" operator="between">
      <formula>3</formula>
      <formula>3.9</formula>
    </cfRule>
    <cfRule type="cellIs" dxfId="1211" priority="582" stopIfTrue="1" operator="between">
      <formula>4</formula>
      <formula>5</formula>
    </cfRule>
  </conditionalFormatting>
  <conditionalFormatting sqref="D37:F38">
    <cfRule type="cellIs" dxfId="1210" priority="579" operator="between">
      <formula>2</formula>
      <formula>2.9</formula>
    </cfRule>
  </conditionalFormatting>
  <conditionalFormatting sqref="E36:E37">
    <cfRule type="cellIs" dxfId="1209" priority="576" stopIfTrue="1" operator="between">
      <formula>0.1</formula>
      <formula>1.9</formula>
    </cfRule>
    <cfRule type="cellIs" dxfId="1208" priority="577" stopIfTrue="1" operator="between">
      <formula>3</formula>
      <formula>3.9</formula>
    </cfRule>
    <cfRule type="cellIs" dxfId="1207" priority="578" stopIfTrue="1" operator="between">
      <formula>4</formula>
      <formula>5</formula>
    </cfRule>
  </conditionalFormatting>
  <conditionalFormatting sqref="E36:E37">
    <cfRule type="cellIs" dxfId="1206" priority="569" operator="between">
      <formula>2</formula>
      <formula>2.9</formula>
    </cfRule>
  </conditionalFormatting>
  <conditionalFormatting sqref="D33:D37">
    <cfRule type="cellIs" dxfId="1205" priority="566" stopIfTrue="1" operator="between">
      <formula>0.1</formula>
      <formula>1.9</formula>
    </cfRule>
    <cfRule type="cellIs" dxfId="1204" priority="567" stopIfTrue="1" operator="between">
      <formula>3</formula>
      <formula>3.9</formula>
    </cfRule>
    <cfRule type="cellIs" dxfId="1203" priority="568" stopIfTrue="1" operator="between">
      <formula>4</formula>
      <formula>5</formula>
    </cfRule>
  </conditionalFormatting>
  <conditionalFormatting sqref="D30:D34">
    <cfRule type="cellIs" dxfId="1202" priority="563" stopIfTrue="1" operator="between">
      <formula>0.1</formula>
      <formula>1.9</formula>
    </cfRule>
    <cfRule type="cellIs" dxfId="1201" priority="564" stopIfTrue="1" operator="between">
      <formula>3</formula>
      <formula>3.9</formula>
    </cfRule>
    <cfRule type="cellIs" dxfId="1200" priority="565" stopIfTrue="1" operator="between">
      <formula>4</formula>
      <formula>5</formula>
    </cfRule>
  </conditionalFormatting>
  <conditionalFormatting sqref="D30:D34">
    <cfRule type="cellIs" dxfId="1199" priority="560" stopIfTrue="1" operator="between">
      <formula>0.1</formula>
      <formula>1.9</formula>
    </cfRule>
    <cfRule type="cellIs" dxfId="1198" priority="561" stopIfTrue="1" operator="between">
      <formula>3</formula>
      <formula>3.9</formula>
    </cfRule>
    <cfRule type="cellIs" dxfId="1197" priority="562" stopIfTrue="1" operator="between">
      <formula>4</formula>
      <formula>5</formula>
    </cfRule>
  </conditionalFormatting>
  <conditionalFormatting sqref="D30:D37">
    <cfRule type="cellIs" dxfId="1196" priority="559" operator="between">
      <formula>2</formula>
      <formula>2.9</formula>
    </cfRule>
  </conditionalFormatting>
  <conditionalFormatting sqref="D23:D31">
    <cfRule type="cellIs" dxfId="1195" priority="543" stopIfTrue="1" operator="between">
      <formula>0.1</formula>
      <formula>1.9</formula>
    </cfRule>
    <cfRule type="cellIs" dxfId="1194" priority="544" stopIfTrue="1" operator="between">
      <formula>3</formula>
      <formula>3.9</formula>
    </cfRule>
    <cfRule type="cellIs" dxfId="1193" priority="545" stopIfTrue="1" operator="between">
      <formula>4</formula>
      <formula>5</formula>
    </cfRule>
  </conditionalFormatting>
  <conditionalFormatting sqref="D25">
    <cfRule type="cellIs" dxfId="1192" priority="540" stopIfTrue="1" operator="between">
      <formula>0.1</formula>
      <formula>1.9</formula>
    </cfRule>
    <cfRule type="cellIs" dxfId="1191" priority="541" stopIfTrue="1" operator="between">
      <formula>3</formula>
      <formula>3.9</formula>
    </cfRule>
    <cfRule type="cellIs" dxfId="1190" priority="542" stopIfTrue="1" operator="between">
      <formula>4</formula>
      <formula>5</formula>
    </cfRule>
  </conditionalFormatting>
  <conditionalFormatting sqref="D23:D27">
    <cfRule type="cellIs" dxfId="1189" priority="537" stopIfTrue="1" operator="between">
      <formula>0.1</formula>
      <formula>1.9</formula>
    </cfRule>
    <cfRule type="cellIs" dxfId="1188" priority="538" stopIfTrue="1" operator="between">
      <formula>3</formula>
      <formula>3.9</formula>
    </cfRule>
    <cfRule type="cellIs" dxfId="1187" priority="539" stopIfTrue="1" operator="between">
      <formula>4</formula>
      <formula>5</formula>
    </cfRule>
  </conditionalFormatting>
  <conditionalFormatting sqref="D25:D31">
    <cfRule type="cellIs" dxfId="1186" priority="534" stopIfTrue="1" operator="between">
      <formula>0.1</formula>
      <formula>1.9</formula>
    </cfRule>
    <cfRule type="cellIs" dxfId="1185" priority="535" stopIfTrue="1" operator="between">
      <formula>3</formula>
      <formula>3.9</formula>
    </cfRule>
    <cfRule type="cellIs" dxfId="1184" priority="536" stopIfTrue="1" operator="between">
      <formula>4</formula>
      <formula>5</formula>
    </cfRule>
  </conditionalFormatting>
  <conditionalFormatting sqref="D23:D31">
    <cfRule type="cellIs" dxfId="1183" priority="533" operator="between">
      <formula>2</formula>
      <formula>2.9</formula>
    </cfRule>
  </conditionalFormatting>
  <conditionalFormatting sqref="G37:H40">
    <cfRule type="cellIs" dxfId="1182" priority="353" stopIfTrue="1" operator="between">
      <formula>0.1</formula>
      <formula>1.9</formula>
    </cfRule>
    <cfRule type="cellIs" dxfId="1181" priority="354" stopIfTrue="1" operator="between">
      <formula>3</formula>
      <formula>3.9</formula>
    </cfRule>
    <cfRule type="cellIs" dxfId="1180" priority="355" stopIfTrue="1" operator="between">
      <formula>4</formula>
      <formula>5</formula>
    </cfRule>
  </conditionalFormatting>
  <conditionalFormatting sqref="D26">
    <cfRule type="cellIs" dxfId="1179" priority="524" stopIfTrue="1" operator="between">
      <formula>0.1</formula>
      <formula>1.9</formula>
    </cfRule>
    <cfRule type="cellIs" dxfId="1178" priority="525" stopIfTrue="1" operator="between">
      <formula>3</formula>
      <formula>3.9</formula>
    </cfRule>
    <cfRule type="cellIs" dxfId="1177" priority="526" stopIfTrue="1" operator="between">
      <formula>4</formula>
      <formula>5</formula>
    </cfRule>
  </conditionalFormatting>
  <conditionalFormatting sqref="D24">
    <cfRule type="cellIs" dxfId="1176" priority="515" stopIfTrue="1" operator="between">
      <formula>0.1</formula>
      <formula>1.9</formula>
    </cfRule>
    <cfRule type="cellIs" dxfId="1175" priority="516" stopIfTrue="1" operator="between">
      <formula>3</formula>
      <formula>3.9</formula>
    </cfRule>
    <cfRule type="cellIs" dxfId="1174" priority="517" stopIfTrue="1" operator="between">
      <formula>4</formula>
      <formula>5</formula>
    </cfRule>
  </conditionalFormatting>
  <conditionalFormatting sqref="D25">
    <cfRule type="cellIs" dxfId="1173" priority="506" stopIfTrue="1" operator="between">
      <formula>0.1</formula>
      <formula>1.9</formula>
    </cfRule>
    <cfRule type="cellIs" dxfId="1172" priority="507" stopIfTrue="1" operator="between">
      <formula>3</formula>
      <formula>3.9</formula>
    </cfRule>
    <cfRule type="cellIs" dxfId="1171" priority="508" stopIfTrue="1" operator="between">
      <formula>4</formula>
      <formula>5</formula>
    </cfRule>
  </conditionalFormatting>
  <conditionalFormatting sqref="D37:F38 D36:E36 D23:D35">
    <cfRule type="cellIs" dxfId="1170" priority="502" operator="equal">
      <formula>""</formula>
    </cfRule>
  </conditionalFormatting>
  <conditionalFormatting sqref="D19">
    <cfRule type="cellIs" dxfId="1169" priority="489" stopIfTrue="1" operator="between">
      <formula>0.1</formula>
      <formula>1.9</formula>
    </cfRule>
    <cfRule type="cellIs" dxfId="1168" priority="490" stopIfTrue="1" operator="between">
      <formula>3</formula>
      <formula>3.9</formula>
    </cfRule>
    <cfRule type="cellIs" dxfId="1167" priority="491" stopIfTrue="1" operator="between">
      <formula>4</formula>
      <formula>5</formula>
    </cfRule>
  </conditionalFormatting>
  <conditionalFormatting sqref="D9:D23">
    <cfRule type="cellIs" dxfId="1166" priority="486" stopIfTrue="1" operator="between">
      <formula>0.1</formula>
      <formula>1.9</formula>
    </cfRule>
    <cfRule type="cellIs" dxfId="1165" priority="487" stopIfTrue="1" operator="between">
      <formula>3</formula>
      <formula>3.9</formula>
    </cfRule>
    <cfRule type="cellIs" dxfId="1164" priority="488" stopIfTrue="1" operator="between">
      <formula>4</formula>
      <formula>5</formula>
    </cfRule>
  </conditionalFormatting>
  <conditionalFormatting sqref="D20:D23">
    <cfRule type="cellIs" dxfId="1163" priority="483" stopIfTrue="1" operator="between">
      <formula>0.1</formula>
      <formula>1.9</formula>
    </cfRule>
    <cfRule type="cellIs" dxfId="1162" priority="484" stopIfTrue="1" operator="between">
      <formula>3</formula>
      <formula>3.9</formula>
    </cfRule>
    <cfRule type="cellIs" dxfId="1161" priority="485" stopIfTrue="1" operator="between">
      <formula>4</formula>
      <formula>5</formula>
    </cfRule>
  </conditionalFormatting>
  <conditionalFormatting sqref="D9:D23">
    <cfRule type="cellIs" dxfId="1160" priority="482" operator="between">
      <formula>2</formula>
      <formula>2.9</formula>
    </cfRule>
  </conditionalFormatting>
  <conditionalFormatting sqref="H26">
    <cfRule type="cellIs" dxfId="1159" priority="305" stopIfTrue="1" operator="between">
      <formula>0.1</formula>
      <formula>1.9</formula>
    </cfRule>
    <cfRule type="cellIs" dxfId="1158" priority="306" stopIfTrue="1" operator="between">
      <formula>3</formula>
      <formula>3.9</formula>
    </cfRule>
    <cfRule type="cellIs" dxfId="1157" priority="307" stopIfTrue="1" operator="between">
      <formula>4</formula>
      <formula>5</formula>
    </cfRule>
  </conditionalFormatting>
  <conditionalFormatting sqref="D20">
    <cfRule type="cellIs" dxfId="1156" priority="476" stopIfTrue="1" operator="between">
      <formula>0.1</formula>
      <formula>1.9</formula>
    </cfRule>
    <cfRule type="cellIs" dxfId="1155" priority="477" stopIfTrue="1" operator="between">
      <formula>3</formula>
      <formula>3.9</formula>
    </cfRule>
    <cfRule type="cellIs" dxfId="1154" priority="478" stopIfTrue="1" operator="between">
      <formula>4</formula>
      <formula>5</formula>
    </cfRule>
  </conditionalFormatting>
  <conditionalFormatting sqref="D9:D23">
    <cfRule type="cellIs" dxfId="1153" priority="475" operator="equal">
      <formula>""</formula>
    </cfRule>
  </conditionalFormatting>
  <conditionalFormatting sqref="F36:F37">
    <cfRule type="cellIs" dxfId="1152" priority="472" stopIfTrue="1" operator="between">
      <formula>0.1</formula>
      <formula>1.9</formula>
    </cfRule>
    <cfRule type="cellIs" dxfId="1151" priority="473" stopIfTrue="1" operator="between">
      <formula>3</formula>
      <formula>3.9</formula>
    </cfRule>
    <cfRule type="cellIs" dxfId="1150" priority="474" stopIfTrue="1" operator="between">
      <formula>4</formula>
      <formula>5</formula>
    </cfRule>
  </conditionalFormatting>
  <conditionalFormatting sqref="H9:H21 G9:G23">
    <cfRule type="cellIs" dxfId="1149" priority="295" stopIfTrue="1" operator="between">
      <formula>0.1</formula>
      <formula>1.9</formula>
    </cfRule>
    <cfRule type="cellIs" dxfId="1148" priority="296" stopIfTrue="1" operator="between">
      <formula>3</formula>
      <formula>3.9</formula>
    </cfRule>
    <cfRule type="cellIs" dxfId="1147" priority="297" stopIfTrue="1" operator="between">
      <formula>4</formula>
      <formula>5</formula>
    </cfRule>
  </conditionalFormatting>
  <conditionalFormatting sqref="F36:F37">
    <cfRule type="cellIs" dxfId="1146" priority="468" operator="between">
      <formula>2</formula>
      <formula>2.9</formula>
    </cfRule>
  </conditionalFormatting>
  <conditionalFormatting sqref="G20:H20">
    <cfRule type="cellIs" dxfId="1145" priority="288" stopIfTrue="1" operator="between">
      <formula>0.1</formula>
      <formula>1.9</formula>
    </cfRule>
    <cfRule type="cellIs" dxfId="1144" priority="289" stopIfTrue="1" operator="between">
      <formula>3</formula>
      <formula>3.9</formula>
    </cfRule>
    <cfRule type="cellIs" dxfId="1143" priority="290" stopIfTrue="1" operator="between">
      <formula>4</formula>
      <formula>5</formula>
    </cfRule>
  </conditionalFormatting>
  <conditionalFormatting sqref="H27">
    <cfRule type="cellIs" dxfId="1142" priority="278" stopIfTrue="1" operator="between">
      <formula>0.1</formula>
      <formula>1.9</formula>
    </cfRule>
    <cfRule type="cellIs" dxfId="1141" priority="279" stopIfTrue="1" operator="between">
      <formula>3</formula>
      <formula>3.9</formula>
    </cfRule>
    <cfRule type="cellIs" dxfId="1140" priority="280" stopIfTrue="1" operator="between">
      <formula>4</formula>
      <formula>5</formula>
    </cfRule>
  </conditionalFormatting>
  <conditionalFormatting sqref="G27:H27">
    <cfRule type="cellIs" dxfId="1139" priority="275" stopIfTrue="1" operator="between">
      <formula>0.1</formula>
      <formula>1.9</formula>
    </cfRule>
    <cfRule type="cellIs" dxfId="1138" priority="276" stopIfTrue="1" operator="between">
      <formula>3</formula>
      <formula>3.9</formula>
    </cfRule>
    <cfRule type="cellIs" dxfId="1137" priority="277" stopIfTrue="1" operator="between">
      <formula>4</formula>
      <formula>5</formula>
    </cfRule>
  </conditionalFormatting>
  <conditionalFormatting sqref="H28">
    <cfRule type="cellIs" dxfId="1136" priority="272" stopIfTrue="1" operator="between">
      <formula>0.1</formula>
      <formula>1.9</formula>
    </cfRule>
    <cfRule type="cellIs" dxfId="1135" priority="273" stopIfTrue="1" operator="between">
      <formula>3</formula>
      <formula>3.9</formula>
    </cfRule>
    <cfRule type="cellIs" dxfId="1134" priority="274" stopIfTrue="1" operator="between">
      <formula>4</formula>
      <formula>5</formula>
    </cfRule>
  </conditionalFormatting>
  <conditionalFormatting sqref="F36:F37">
    <cfRule type="cellIs" dxfId="1133" priority="445" operator="equal">
      <formula>""</formula>
    </cfRule>
  </conditionalFormatting>
  <conditionalFormatting sqref="G21:H21">
    <cfRule type="cellIs" dxfId="1132" priority="254" stopIfTrue="1" operator="between">
      <formula>0.1</formula>
      <formula>1.9</formula>
    </cfRule>
    <cfRule type="cellIs" dxfId="1131" priority="255" stopIfTrue="1" operator="between">
      <formula>3</formula>
      <formula>3.9</formula>
    </cfRule>
    <cfRule type="cellIs" dxfId="1130" priority="256" stopIfTrue="1" operator="between">
      <formula>4</formula>
      <formula>5</formula>
    </cfRule>
  </conditionalFormatting>
  <conditionalFormatting sqref="G31">
    <cfRule type="cellIs" dxfId="1129" priority="251" stopIfTrue="1" operator="between">
      <formula>0.1</formula>
      <formula>1.9</formula>
    </cfRule>
    <cfRule type="cellIs" dxfId="1128" priority="252" stopIfTrue="1" operator="between">
      <formula>3</formula>
      <formula>3.9</formula>
    </cfRule>
    <cfRule type="cellIs" dxfId="1127" priority="253" stopIfTrue="1" operator="between">
      <formula>4</formula>
      <formula>5</formula>
    </cfRule>
  </conditionalFormatting>
  <conditionalFormatting sqref="D26">
    <cfRule type="cellIs" dxfId="1126" priority="422" stopIfTrue="1" operator="between">
      <formula>0.1</formula>
      <formula>1.9</formula>
    </cfRule>
    <cfRule type="cellIs" dxfId="1125" priority="423" stopIfTrue="1" operator="between">
      <formula>3</formula>
      <formula>3.9</formula>
    </cfRule>
    <cfRule type="cellIs" dxfId="1124" priority="424" stopIfTrue="1" operator="between">
      <formula>4</formula>
      <formula>5</formula>
    </cfRule>
  </conditionalFormatting>
  <conditionalFormatting sqref="D27">
    <cfRule type="cellIs" dxfId="1123" priority="413" stopIfTrue="1" operator="between">
      <formula>0.1</formula>
      <formula>1.9</formula>
    </cfRule>
    <cfRule type="cellIs" dxfId="1122" priority="414" stopIfTrue="1" operator="between">
      <formula>3</formula>
      <formula>3.9</formula>
    </cfRule>
    <cfRule type="cellIs" dxfId="1121" priority="415" stopIfTrue="1" operator="between">
      <formula>4</formula>
      <formula>5</formula>
    </cfRule>
  </conditionalFormatting>
  <conditionalFormatting sqref="D25">
    <cfRule type="cellIs" dxfId="1120" priority="404" stopIfTrue="1" operator="between">
      <formula>0.1</formula>
      <formula>1.9</formula>
    </cfRule>
    <cfRule type="cellIs" dxfId="1119" priority="405" stopIfTrue="1" operator="between">
      <formula>3</formula>
      <formula>3.9</formula>
    </cfRule>
    <cfRule type="cellIs" dxfId="1118" priority="406" stopIfTrue="1" operator="between">
      <formula>4</formula>
      <formula>5</formula>
    </cfRule>
  </conditionalFormatting>
  <conditionalFormatting sqref="D26">
    <cfRule type="cellIs" dxfId="1117" priority="395" stopIfTrue="1" operator="between">
      <formula>0.1</formula>
      <formula>1.9</formula>
    </cfRule>
    <cfRule type="cellIs" dxfId="1116" priority="396" stopIfTrue="1" operator="between">
      <formula>3</formula>
      <formula>3.9</formula>
    </cfRule>
    <cfRule type="cellIs" dxfId="1115" priority="397" stopIfTrue="1" operator="between">
      <formula>4</formula>
      <formula>5</formula>
    </cfRule>
  </conditionalFormatting>
  <conditionalFormatting sqref="D20">
    <cfRule type="cellIs" dxfId="1114" priority="386" stopIfTrue="1" operator="between">
      <formula>0.1</formula>
      <formula>1.9</formula>
    </cfRule>
    <cfRule type="cellIs" dxfId="1113" priority="387" stopIfTrue="1" operator="between">
      <formula>3</formula>
      <formula>3.9</formula>
    </cfRule>
    <cfRule type="cellIs" dxfId="1112" priority="388" stopIfTrue="1" operator="between">
      <formula>4</formula>
      <formula>5</formula>
    </cfRule>
  </conditionalFormatting>
  <conditionalFormatting sqref="E30">
    <cfRule type="cellIs" dxfId="1111" priority="209" stopIfTrue="1" operator="between">
      <formula>0.1</formula>
      <formula>1.9</formula>
    </cfRule>
    <cfRule type="cellIs" dxfId="1110" priority="210" stopIfTrue="1" operator="between">
      <formula>3</formula>
      <formula>3.9</formula>
    </cfRule>
    <cfRule type="cellIs" dxfId="1109" priority="211" stopIfTrue="1" operator="between">
      <formula>4</formula>
      <formula>5</formula>
    </cfRule>
  </conditionalFormatting>
  <conditionalFormatting sqref="D21">
    <cfRule type="cellIs" dxfId="1108" priority="380" stopIfTrue="1" operator="between">
      <formula>0.1</formula>
      <formula>1.9</formula>
    </cfRule>
    <cfRule type="cellIs" dxfId="1107" priority="381" stopIfTrue="1" operator="between">
      <formula>3</formula>
      <formula>3.9</formula>
    </cfRule>
    <cfRule type="cellIs" dxfId="1106" priority="382" stopIfTrue="1" operator="between">
      <formula>4</formula>
      <formula>5</formula>
    </cfRule>
  </conditionalFormatting>
  <conditionalFormatting sqref="G37:H40">
    <cfRule type="cellIs" dxfId="1105" priority="352" operator="between">
      <formula>2</formula>
      <formula>2.9</formula>
    </cfRule>
  </conditionalFormatting>
  <conditionalFormatting sqref="H30:H37 G33:G37">
    <cfRule type="cellIs" dxfId="1104" priority="349" stopIfTrue="1" operator="between">
      <formula>0.1</formula>
      <formula>1.9</formula>
    </cfRule>
    <cfRule type="cellIs" dxfId="1103" priority="350" stopIfTrue="1" operator="between">
      <formula>3</formula>
      <formula>3.9</formula>
    </cfRule>
    <cfRule type="cellIs" dxfId="1102" priority="351" stopIfTrue="1" operator="between">
      <formula>4</formula>
      <formula>5</formula>
    </cfRule>
  </conditionalFormatting>
  <conditionalFormatting sqref="G30">
    <cfRule type="cellIs" dxfId="1101" priority="346" stopIfTrue="1" operator="between">
      <formula>0.1</formula>
      <formula>1.9</formula>
    </cfRule>
    <cfRule type="cellIs" dxfId="1100" priority="347" stopIfTrue="1" operator="between">
      <formula>3</formula>
      <formula>3.9</formula>
    </cfRule>
    <cfRule type="cellIs" dxfId="1099" priority="348" stopIfTrue="1" operator="between">
      <formula>4</formula>
      <formula>5</formula>
    </cfRule>
  </conditionalFormatting>
  <conditionalFormatting sqref="G30:H34">
    <cfRule type="cellIs" dxfId="1098" priority="343" stopIfTrue="1" operator="between">
      <formula>0.1</formula>
      <formula>1.9</formula>
    </cfRule>
    <cfRule type="cellIs" dxfId="1097" priority="344" stopIfTrue="1" operator="between">
      <formula>3</formula>
      <formula>3.9</formula>
    </cfRule>
    <cfRule type="cellIs" dxfId="1096" priority="345" stopIfTrue="1" operator="between">
      <formula>4</formula>
      <formula>5</formula>
    </cfRule>
  </conditionalFormatting>
  <conditionalFormatting sqref="G30:H37">
    <cfRule type="cellIs" dxfId="1095" priority="342" operator="between">
      <formula>2</formula>
      <formula>2.9</formula>
    </cfRule>
  </conditionalFormatting>
  <conditionalFormatting sqref="H23:H31">
    <cfRule type="cellIs" dxfId="1094" priority="339" stopIfTrue="1" operator="between">
      <formula>0.1</formula>
      <formula>1.9</formula>
    </cfRule>
    <cfRule type="cellIs" dxfId="1093" priority="340" stopIfTrue="1" operator="between">
      <formula>3</formula>
      <formula>3.9</formula>
    </cfRule>
    <cfRule type="cellIs" dxfId="1092" priority="341" stopIfTrue="1" operator="between">
      <formula>4</formula>
      <formula>5</formula>
    </cfRule>
  </conditionalFormatting>
  <conditionalFormatting sqref="G23:G31">
    <cfRule type="cellIs" dxfId="1091" priority="336" stopIfTrue="1" operator="between">
      <formula>0.1</formula>
      <formula>1.9</formula>
    </cfRule>
    <cfRule type="cellIs" dxfId="1090" priority="337" stopIfTrue="1" operator="between">
      <formula>3</formula>
      <formula>3.9</formula>
    </cfRule>
    <cfRule type="cellIs" dxfId="1089" priority="338" stopIfTrue="1" operator="between">
      <formula>4</formula>
      <formula>5</formula>
    </cfRule>
  </conditionalFormatting>
  <conditionalFormatting sqref="G25:H25">
    <cfRule type="cellIs" dxfId="1088" priority="333" stopIfTrue="1" operator="between">
      <formula>0.1</formula>
      <formula>1.9</formula>
    </cfRule>
    <cfRule type="cellIs" dxfId="1087" priority="334" stopIfTrue="1" operator="between">
      <formula>3</formula>
      <formula>3.9</formula>
    </cfRule>
    <cfRule type="cellIs" dxfId="1086" priority="335" stopIfTrue="1" operator="between">
      <formula>4</formula>
      <formula>5</formula>
    </cfRule>
  </conditionalFormatting>
  <conditionalFormatting sqref="H28 G23:H27">
    <cfRule type="cellIs" dxfId="1085" priority="330" stopIfTrue="1" operator="between">
      <formula>0.1</formula>
      <formula>1.9</formula>
    </cfRule>
    <cfRule type="cellIs" dxfId="1084" priority="331" stopIfTrue="1" operator="between">
      <formula>3</formula>
      <formula>3.9</formula>
    </cfRule>
    <cfRule type="cellIs" dxfId="1083" priority="332" stopIfTrue="1" operator="between">
      <formula>4</formula>
      <formula>5</formula>
    </cfRule>
  </conditionalFormatting>
  <conditionalFormatting sqref="G25:H31">
    <cfRule type="cellIs" dxfId="1082" priority="327" stopIfTrue="1" operator="between">
      <formula>0.1</formula>
      <formula>1.9</formula>
    </cfRule>
    <cfRule type="cellIs" dxfId="1081" priority="328" stopIfTrue="1" operator="between">
      <formula>3</formula>
      <formula>3.9</formula>
    </cfRule>
    <cfRule type="cellIs" dxfId="1080" priority="329" stopIfTrue="1" operator="between">
      <formula>4</formula>
      <formula>5</formula>
    </cfRule>
  </conditionalFormatting>
  <conditionalFormatting sqref="G23:H31">
    <cfRule type="cellIs" dxfId="1079" priority="326" operator="between">
      <formula>2</formula>
      <formula>2.9</formula>
    </cfRule>
  </conditionalFormatting>
  <conditionalFormatting sqref="H26">
    <cfRule type="cellIs" dxfId="1078" priority="323" stopIfTrue="1" operator="between">
      <formula>0.1</formula>
      <formula>1.9</formula>
    </cfRule>
    <cfRule type="cellIs" dxfId="1077" priority="324" stopIfTrue="1" operator="between">
      <formula>3</formula>
      <formula>3.9</formula>
    </cfRule>
    <cfRule type="cellIs" dxfId="1076" priority="325" stopIfTrue="1" operator="between">
      <formula>4</formula>
      <formula>5</formula>
    </cfRule>
  </conditionalFormatting>
  <conditionalFormatting sqref="G26:H26">
    <cfRule type="cellIs" dxfId="1075" priority="320" stopIfTrue="1" operator="between">
      <formula>0.1</formula>
      <formula>1.9</formula>
    </cfRule>
    <cfRule type="cellIs" dxfId="1074" priority="321" stopIfTrue="1" operator="between">
      <formula>3</formula>
      <formula>3.9</formula>
    </cfRule>
    <cfRule type="cellIs" dxfId="1073" priority="322" stopIfTrue="1" operator="between">
      <formula>4</formula>
      <formula>5</formula>
    </cfRule>
  </conditionalFormatting>
  <conditionalFormatting sqref="H27">
    <cfRule type="cellIs" dxfId="1072" priority="317" stopIfTrue="1" operator="between">
      <formula>0.1</formula>
      <formula>1.9</formula>
    </cfRule>
    <cfRule type="cellIs" dxfId="1071" priority="318" stopIfTrue="1" operator="between">
      <formula>3</formula>
      <formula>3.9</formula>
    </cfRule>
    <cfRule type="cellIs" dxfId="1070" priority="319" stopIfTrue="1" operator="between">
      <formula>4</formula>
      <formula>5</formula>
    </cfRule>
  </conditionalFormatting>
  <conditionalFormatting sqref="G24:H24">
    <cfRule type="cellIs" dxfId="1069" priority="314" stopIfTrue="1" operator="between">
      <formula>0.1</formula>
      <formula>1.9</formula>
    </cfRule>
    <cfRule type="cellIs" dxfId="1068" priority="315" stopIfTrue="1" operator="between">
      <formula>3</formula>
      <formula>3.9</formula>
    </cfRule>
    <cfRule type="cellIs" dxfId="1067" priority="316" stopIfTrue="1" operator="between">
      <formula>4</formula>
      <formula>5</formula>
    </cfRule>
  </conditionalFormatting>
  <conditionalFormatting sqref="H25">
    <cfRule type="cellIs" dxfId="1066" priority="311" stopIfTrue="1" operator="between">
      <formula>0.1</formula>
      <formula>1.9</formula>
    </cfRule>
    <cfRule type="cellIs" dxfId="1065" priority="312" stopIfTrue="1" operator="between">
      <formula>3</formula>
      <formula>3.9</formula>
    </cfRule>
    <cfRule type="cellIs" dxfId="1064" priority="313" stopIfTrue="1" operator="between">
      <formula>4</formula>
      <formula>5</formula>
    </cfRule>
  </conditionalFormatting>
  <conditionalFormatting sqref="G25:H25">
    <cfRule type="cellIs" dxfId="1063" priority="308" stopIfTrue="1" operator="between">
      <formula>0.1</formula>
      <formula>1.9</formula>
    </cfRule>
    <cfRule type="cellIs" dxfId="1062" priority="309" stopIfTrue="1" operator="between">
      <formula>3</formula>
      <formula>3.9</formula>
    </cfRule>
    <cfRule type="cellIs" dxfId="1061" priority="310" stopIfTrue="1" operator="between">
      <formula>4</formula>
      <formula>5</formula>
    </cfRule>
  </conditionalFormatting>
  <conditionalFormatting sqref="G23:H40">
    <cfRule type="cellIs" dxfId="1060" priority="304" operator="equal">
      <formula>""</formula>
    </cfRule>
  </conditionalFormatting>
  <conditionalFormatting sqref="H9:H23">
    <cfRule type="cellIs" dxfId="1059" priority="301" stopIfTrue="1" operator="between">
      <formula>0.1</formula>
      <formula>1.9</formula>
    </cfRule>
    <cfRule type="cellIs" dxfId="1058" priority="302" stopIfTrue="1" operator="between">
      <formula>3</formula>
      <formula>3.9</formula>
    </cfRule>
    <cfRule type="cellIs" dxfId="1057" priority="303" stopIfTrue="1" operator="between">
      <formula>4</formula>
      <formula>5</formula>
    </cfRule>
  </conditionalFormatting>
  <conditionalFormatting sqref="G19:H19">
    <cfRule type="cellIs" dxfId="1056" priority="298" stopIfTrue="1" operator="between">
      <formula>0.1</formula>
      <formula>1.9</formula>
    </cfRule>
    <cfRule type="cellIs" dxfId="1055" priority="299" stopIfTrue="1" operator="between">
      <formula>3</formula>
      <formula>3.9</formula>
    </cfRule>
    <cfRule type="cellIs" dxfId="1054" priority="300" stopIfTrue="1" operator="between">
      <formula>4</formula>
      <formula>5</formula>
    </cfRule>
  </conditionalFormatting>
  <conditionalFormatting sqref="G20:H23">
    <cfRule type="cellIs" dxfId="1053" priority="292" stopIfTrue="1" operator="between">
      <formula>0.1</formula>
      <formula>1.9</formula>
    </cfRule>
    <cfRule type="cellIs" dxfId="1052" priority="293" stopIfTrue="1" operator="between">
      <formula>3</formula>
      <formula>3.9</formula>
    </cfRule>
    <cfRule type="cellIs" dxfId="1051" priority="294" stopIfTrue="1" operator="between">
      <formula>4</formula>
      <formula>5</formula>
    </cfRule>
  </conditionalFormatting>
  <conditionalFormatting sqref="G9:H23">
    <cfRule type="cellIs" dxfId="1050" priority="291" operator="between">
      <formula>2</formula>
      <formula>2.9</formula>
    </cfRule>
  </conditionalFormatting>
  <conditionalFormatting sqref="G9:H23">
    <cfRule type="cellIs" dxfId="1049" priority="287" operator="equal">
      <formula>""</formula>
    </cfRule>
  </conditionalFormatting>
  <conditionalFormatting sqref="G31">
    <cfRule type="cellIs" dxfId="1048" priority="284" stopIfTrue="1" operator="between">
      <formula>0.1</formula>
      <formula>1.9</formula>
    </cfRule>
    <cfRule type="cellIs" dxfId="1047" priority="285" stopIfTrue="1" operator="between">
      <formula>3</formula>
      <formula>3.9</formula>
    </cfRule>
    <cfRule type="cellIs" dxfId="1046" priority="286" stopIfTrue="1" operator="between">
      <formula>4</formula>
      <formula>5</formula>
    </cfRule>
  </conditionalFormatting>
  <conditionalFormatting sqref="G26:H26">
    <cfRule type="cellIs" dxfId="1045" priority="281" stopIfTrue="1" operator="between">
      <formula>0.1</formula>
      <formula>1.9</formula>
    </cfRule>
    <cfRule type="cellIs" dxfId="1044" priority="282" stopIfTrue="1" operator="between">
      <formula>3</formula>
      <formula>3.9</formula>
    </cfRule>
    <cfRule type="cellIs" dxfId="1043" priority="283" stopIfTrue="1" operator="between">
      <formula>4</formula>
      <formula>5</formula>
    </cfRule>
  </conditionalFormatting>
  <conditionalFormatting sqref="G25:H25">
    <cfRule type="cellIs" dxfId="1042" priority="269" stopIfTrue="1" operator="between">
      <formula>0.1</formula>
      <formula>1.9</formula>
    </cfRule>
    <cfRule type="cellIs" dxfId="1041" priority="270" stopIfTrue="1" operator="between">
      <formula>3</formula>
      <formula>3.9</formula>
    </cfRule>
    <cfRule type="cellIs" dxfId="1040" priority="271" stopIfTrue="1" operator="between">
      <formula>4</formula>
      <formula>5</formula>
    </cfRule>
  </conditionalFormatting>
  <conditionalFormatting sqref="H26">
    <cfRule type="cellIs" dxfId="1039" priority="266" stopIfTrue="1" operator="between">
      <formula>0.1</formula>
      <formula>1.9</formula>
    </cfRule>
    <cfRule type="cellIs" dxfId="1038" priority="267" stopIfTrue="1" operator="between">
      <formula>3</formula>
      <formula>3.9</formula>
    </cfRule>
    <cfRule type="cellIs" dxfId="1037" priority="268" stopIfTrue="1" operator="between">
      <formula>4</formula>
      <formula>5</formula>
    </cfRule>
  </conditionalFormatting>
  <conditionalFormatting sqref="G26:H26">
    <cfRule type="cellIs" dxfId="1036" priority="263" stopIfTrue="1" operator="between">
      <formula>0.1</formula>
      <formula>1.9</formula>
    </cfRule>
    <cfRule type="cellIs" dxfId="1035" priority="264" stopIfTrue="1" operator="between">
      <formula>3</formula>
      <formula>3.9</formula>
    </cfRule>
    <cfRule type="cellIs" dxfId="1034" priority="265" stopIfTrue="1" operator="between">
      <formula>4</formula>
      <formula>5</formula>
    </cfRule>
  </conditionalFormatting>
  <conditionalFormatting sqref="H27">
    <cfRule type="cellIs" dxfId="1033" priority="260" stopIfTrue="1" operator="between">
      <formula>0.1</formula>
      <formula>1.9</formula>
    </cfRule>
    <cfRule type="cellIs" dxfId="1032" priority="261" stopIfTrue="1" operator="between">
      <formula>3</formula>
      <formula>3.9</formula>
    </cfRule>
    <cfRule type="cellIs" dxfId="1031" priority="262" stopIfTrue="1" operator="between">
      <formula>4</formula>
      <formula>5</formula>
    </cfRule>
  </conditionalFormatting>
  <conditionalFormatting sqref="G20:H20">
    <cfRule type="cellIs" dxfId="1030" priority="257" stopIfTrue="1" operator="between">
      <formula>0.1</formula>
      <formula>1.9</formula>
    </cfRule>
    <cfRule type="cellIs" dxfId="1029" priority="258" stopIfTrue="1" operator="between">
      <formula>3</formula>
      <formula>3.9</formula>
    </cfRule>
    <cfRule type="cellIs" dxfId="1028" priority="259" stopIfTrue="1" operator="between">
      <formula>4</formula>
      <formula>5</formula>
    </cfRule>
  </conditionalFormatting>
  <conditionalFormatting sqref="G32">
    <cfRule type="cellIs" dxfId="1027" priority="248" stopIfTrue="1" operator="between">
      <formula>0.1</formula>
      <formula>1.9</formula>
    </cfRule>
    <cfRule type="cellIs" dxfId="1026" priority="249" stopIfTrue="1" operator="between">
      <formula>3</formula>
      <formula>3.9</formula>
    </cfRule>
    <cfRule type="cellIs" dxfId="1025" priority="250" stopIfTrue="1" operator="between">
      <formula>4</formula>
      <formula>5</formula>
    </cfRule>
  </conditionalFormatting>
  <conditionalFormatting sqref="T9:T44">
    <cfRule type="expression" dxfId="1024" priority="243" stopIfTrue="1">
      <formula>$M9=""</formula>
    </cfRule>
    <cfRule type="expression" dxfId="1023" priority="244" stopIfTrue="1">
      <formula>$M9="A+"</formula>
    </cfRule>
  </conditionalFormatting>
  <conditionalFormatting sqref="AC9:AC44">
    <cfRule type="cellIs" dxfId="1022" priority="239" stopIfTrue="1" operator="between">
      <formula>0.001</formula>
      <formula>1.999</formula>
    </cfRule>
    <cfRule type="cellIs" dxfId="1021" priority="240" stopIfTrue="1" operator="between">
      <formula>3</formula>
      <formula>3.999</formula>
    </cfRule>
    <cfRule type="cellIs" dxfId="1020" priority="241" stopIfTrue="1" operator="between">
      <formula>4</formula>
      <formula>5</formula>
    </cfRule>
  </conditionalFormatting>
  <conditionalFormatting sqref="AC46 U46:Y46">
    <cfRule type="cellIs" dxfId="1019" priority="237" operator="equal">
      <formula>"E-5-"</formula>
    </cfRule>
    <cfRule type="cellIs" dxfId="1018" priority="238" operator="equal">
      <formula>"A-1+"</formula>
    </cfRule>
  </conditionalFormatting>
  <conditionalFormatting sqref="U9:U44">
    <cfRule type="expression" dxfId="1017" priority="234">
      <formula>$U9=""</formula>
    </cfRule>
    <cfRule type="expression" dxfId="1016" priority="235">
      <formula>$U9&lt;=$U$4</formula>
    </cfRule>
    <cfRule type="expression" dxfId="1015" priority="236">
      <formula>$U9&gt;=$U$3</formula>
    </cfRule>
  </conditionalFormatting>
  <conditionalFormatting sqref="V9:V44">
    <cfRule type="expression" dxfId="1014" priority="231">
      <formula>$V9=""</formula>
    </cfRule>
    <cfRule type="expression" dxfId="1013" priority="232">
      <formula>$V9&lt;=$V$4</formula>
    </cfRule>
    <cfRule type="expression" dxfId="1012" priority="233">
      <formula>$V9&gt;=$V$3</formula>
    </cfRule>
  </conditionalFormatting>
  <conditionalFormatting sqref="W9:W44">
    <cfRule type="expression" dxfId="1011" priority="228">
      <formula>$W9=""</formula>
    </cfRule>
    <cfRule type="expression" dxfId="1010" priority="229">
      <formula>$W9&lt;=$W$4</formula>
    </cfRule>
    <cfRule type="expression" dxfId="1009" priority="230">
      <formula>$W9&gt;=$W$3</formula>
    </cfRule>
  </conditionalFormatting>
  <conditionalFormatting sqref="X9:X44">
    <cfRule type="expression" dxfId="1008" priority="225">
      <formula>$X9=""</formula>
    </cfRule>
    <cfRule type="expression" dxfId="1007" priority="226">
      <formula>$X9&lt;=$X$4</formula>
    </cfRule>
    <cfRule type="expression" dxfId="1006" priority="227">
      <formula>$X9&gt;=$X$3</formula>
    </cfRule>
  </conditionalFormatting>
  <conditionalFormatting sqref="Y9:Y44">
    <cfRule type="expression" dxfId="1005" priority="222">
      <formula>$Y9=""</formula>
    </cfRule>
    <cfRule type="expression" dxfId="1004" priority="223">
      <formula>$Y9&lt;=$Y$4</formula>
    </cfRule>
    <cfRule type="expression" dxfId="1003" priority="224">
      <formula>$Y9&gt;=$Y$3</formula>
    </cfRule>
  </conditionalFormatting>
  <conditionalFormatting sqref="AD9:AD44">
    <cfRule type="cellIs" dxfId="1002" priority="219" operator="equal">
      <formula>""</formula>
    </cfRule>
    <cfRule type="cellIs" dxfId="1001" priority="220" operator="lessThan">
      <formula>0.9</formula>
    </cfRule>
    <cfRule type="cellIs" dxfId="1000" priority="221" operator="greaterThanOrEqual">
      <formula>1.1</formula>
    </cfRule>
  </conditionalFormatting>
  <conditionalFormatting sqref="R8:R44">
    <cfRule type="cellIs" dxfId="999" priority="218" operator="greaterThan">
      <formula>0</formula>
    </cfRule>
  </conditionalFormatting>
  <conditionalFormatting sqref="O39:Q44 Q9:Q38">
    <cfRule type="cellIs" dxfId="998" priority="215" operator="equal">
      <formula>"2F/1S"</formula>
    </cfRule>
    <cfRule type="cellIs" dxfId="997" priority="216" operator="equal">
      <formula>"1F"</formula>
    </cfRule>
    <cfRule type="cellIs" dxfId="996" priority="217" operator="equal">
      <formula>"&lt;1F"</formula>
    </cfRule>
  </conditionalFormatting>
  <conditionalFormatting sqref="E33:E35">
    <cfRule type="cellIs" dxfId="995" priority="212" stopIfTrue="1" operator="between">
      <formula>0.1</formula>
      <formula>1.9</formula>
    </cfRule>
    <cfRule type="cellIs" dxfId="994" priority="213" stopIfTrue="1" operator="between">
      <formula>3</formula>
      <formula>3.9</formula>
    </cfRule>
    <cfRule type="cellIs" dxfId="993" priority="214" stopIfTrue="1" operator="between">
      <formula>4</formula>
      <formula>5</formula>
    </cfRule>
  </conditionalFormatting>
  <conditionalFormatting sqref="E30:E34">
    <cfRule type="cellIs" dxfId="992" priority="206" stopIfTrue="1" operator="between">
      <formula>0.1</formula>
      <formula>1.9</formula>
    </cfRule>
    <cfRule type="cellIs" dxfId="991" priority="207" stopIfTrue="1" operator="between">
      <formula>3</formula>
      <formula>3.9</formula>
    </cfRule>
    <cfRule type="cellIs" dxfId="990" priority="208" stopIfTrue="1" operator="between">
      <formula>4</formula>
      <formula>5</formula>
    </cfRule>
  </conditionalFormatting>
  <conditionalFormatting sqref="E30:E35">
    <cfRule type="cellIs" dxfId="989" priority="205" operator="between">
      <formula>2</formula>
      <formula>2.9</formula>
    </cfRule>
  </conditionalFormatting>
  <conditionalFormatting sqref="E23:E31">
    <cfRule type="cellIs" dxfId="988" priority="202" stopIfTrue="1" operator="between">
      <formula>0.1</formula>
      <formula>1.9</formula>
    </cfRule>
    <cfRule type="cellIs" dxfId="987" priority="203" stopIfTrue="1" operator="between">
      <formula>3</formula>
      <formula>3.9</formula>
    </cfRule>
    <cfRule type="cellIs" dxfId="986" priority="204" stopIfTrue="1" operator="between">
      <formula>4</formula>
      <formula>5</formula>
    </cfRule>
  </conditionalFormatting>
  <conditionalFormatting sqref="E25">
    <cfRule type="cellIs" dxfId="985" priority="199" stopIfTrue="1" operator="between">
      <formula>0.1</formula>
      <formula>1.9</formula>
    </cfRule>
    <cfRule type="cellIs" dxfId="984" priority="200" stopIfTrue="1" operator="between">
      <formula>3</formula>
      <formula>3.9</formula>
    </cfRule>
    <cfRule type="cellIs" dxfId="983" priority="201" stopIfTrue="1" operator="between">
      <formula>4</formula>
      <formula>5</formula>
    </cfRule>
  </conditionalFormatting>
  <conditionalFormatting sqref="E23:E28">
    <cfRule type="cellIs" dxfId="982" priority="196" stopIfTrue="1" operator="between">
      <formula>0.1</formula>
      <formula>1.9</formula>
    </cfRule>
    <cfRule type="cellIs" dxfId="981" priority="197" stopIfTrue="1" operator="between">
      <formula>3</formula>
      <formula>3.9</formula>
    </cfRule>
    <cfRule type="cellIs" dxfId="980" priority="198" stopIfTrue="1" operator="between">
      <formula>4</formula>
      <formula>5</formula>
    </cfRule>
  </conditionalFormatting>
  <conditionalFormatting sqref="E25:E31">
    <cfRule type="cellIs" dxfId="979" priority="193" stopIfTrue="1" operator="between">
      <formula>0.1</formula>
      <formula>1.9</formula>
    </cfRule>
    <cfRule type="cellIs" dxfId="978" priority="194" stopIfTrue="1" operator="between">
      <formula>3</formula>
      <formula>3.9</formula>
    </cfRule>
    <cfRule type="cellIs" dxfId="977" priority="195" stopIfTrue="1" operator="between">
      <formula>4</formula>
      <formula>5</formula>
    </cfRule>
  </conditionalFormatting>
  <conditionalFormatting sqref="E23:E31">
    <cfRule type="cellIs" dxfId="976" priority="192" operator="between">
      <formula>2</formula>
      <formula>2.9</formula>
    </cfRule>
  </conditionalFormatting>
  <conditionalFormatting sqref="E26">
    <cfRule type="cellIs" dxfId="975" priority="189" stopIfTrue="1" operator="between">
      <formula>0.1</formula>
      <formula>1.9</formula>
    </cfRule>
    <cfRule type="cellIs" dxfId="974" priority="190" stopIfTrue="1" operator="between">
      <formula>3</formula>
      <formula>3.9</formula>
    </cfRule>
    <cfRule type="cellIs" dxfId="973" priority="191" stopIfTrue="1" operator="between">
      <formula>4</formula>
      <formula>5</formula>
    </cfRule>
  </conditionalFormatting>
  <conditionalFormatting sqref="E26">
    <cfRule type="cellIs" dxfId="972" priority="186" stopIfTrue="1" operator="between">
      <formula>0.1</formula>
      <formula>1.9</formula>
    </cfRule>
    <cfRule type="cellIs" dxfId="971" priority="187" stopIfTrue="1" operator="between">
      <formula>3</formula>
      <formula>3.9</formula>
    </cfRule>
    <cfRule type="cellIs" dxfId="970" priority="188" stopIfTrue="1" operator="between">
      <formula>4</formula>
      <formula>5</formula>
    </cfRule>
  </conditionalFormatting>
  <conditionalFormatting sqref="E27">
    <cfRule type="cellIs" dxfId="969" priority="183" stopIfTrue="1" operator="between">
      <formula>0.1</formula>
      <formula>1.9</formula>
    </cfRule>
    <cfRule type="cellIs" dxfId="968" priority="184" stopIfTrue="1" operator="between">
      <formula>3</formula>
      <formula>3.9</formula>
    </cfRule>
    <cfRule type="cellIs" dxfId="967" priority="185" stopIfTrue="1" operator="between">
      <formula>4</formula>
      <formula>5</formula>
    </cfRule>
  </conditionalFormatting>
  <conditionalFormatting sqref="E24">
    <cfRule type="cellIs" dxfId="966" priority="180" stopIfTrue="1" operator="between">
      <formula>0.1</formula>
      <formula>1.9</formula>
    </cfRule>
    <cfRule type="cellIs" dxfId="965" priority="181" stopIfTrue="1" operator="between">
      <formula>3</formula>
      <formula>3.9</formula>
    </cfRule>
    <cfRule type="cellIs" dxfId="964" priority="182" stopIfTrue="1" operator="between">
      <formula>4</formula>
      <formula>5</formula>
    </cfRule>
  </conditionalFormatting>
  <conditionalFormatting sqref="E25">
    <cfRule type="cellIs" dxfId="963" priority="177" stopIfTrue="1" operator="between">
      <formula>0.1</formula>
      <formula>1.9</formula>
    </cfRule>
    <cfRule type="cellIs" dxfId="962" priority="178" stopIfTrue="1" operator="between">
      <formula>3</formula>
      <formula>3.9</formula>
    </cfRule>
    <cfRule type="cellIs" dxfId="961" priority="179" stopIfTrue="1" operator="between">
      <formula>4</formula>
      <formula>5</formula>
    </cfRule>
  </conditionalFormatting>
  <conditionalFormatting sqref="E25">
    <cfRule type="cellIs" dxfId="960" priority="174" stopIfTrue="1" operator="between">
      <formula>0.1</formula>
      <formula>1.9</formula>
    </cfRule>
    <cfRule type="cellIs" dxfId="959" priority="175" stopIfTrue="1" operator="between">
      <formula>3</formula>
      <formula>3.9</formula>
    </cfRule>
    <cfRule type="cellIs" dxfId="958" priority="176" stopIfTrue="1" operator="between">
      <formula>4</formula>
      <formula>5</formula>
    </cfRule>
  </conditionalFormatting>
  <conditionalFormatting sqref="E26">
    <cfRule type="cellIs" dxfId="957" priority="171" stopIfTrue="1" operator="between">
      <formula>0.1</formula>
      <formula>1.9</formula>
    </cfRule>
    <cfRule type="cellIs" dxfId="956" priority="172" stopIfTrue="1" operator="between">
      <formula>3</formula>
      <formula>3.9</formula>
    </cfRule>
    <cfRule type="cellIs" dxfId="955" priority="173" stopIfTrue="1" operator="between">
      <formula>4</formula>
      <formula>5</formula>
    </cfRule>
  </conditionalFormatting>
  <conditionalFormatting sqref="E23:E35">
    <cfRule type="cellIs" dxfId="954" priority="170" operator="equal">
      <formula>""</formula>
    </cfRule>
  </conditionalFormatting>
  <conditionalFormatting sqref="E19">
    <cfRule type="cellIs" dxfId="953" priority="167" stopIfTrue="1" operator="between">
      <formula>0.1</formula>
      <formula>1.9</formula>
    </cfRule>
    <cfRule type="cellIs" dxfId="952" priority="168" stopIfTrue="1" operator="between">
      <formula>3</formula>
      <formula>3.9</formula>
    </cfRule>
    <cfRule type="cellIs" dxfId="951" priority="169" stopIfTrue="1" operator="between">
      <formula>4</formula>
      <formula>5</formula>
    </cfRule>
  </conditionalFormatting>
  <conditionalFormatting sqref="E9:E23">
    <cfRule type="cellIs" dxfId="950" priority="164" stopIfTrue="1" operator="between">
      <formula>0.1</formula>
      <formula>1.9</formula>
    </cfRule>
    <cfRule type="cellIs" dxfId="949" priority="165" stopIfTrue="1" operator="between">
      <formula>3</formula>
      <formula>3.9</formula>
    </cfRule>
    <cfRule type="cellIs" dxfId="948" priority="166" stopIfTrue="1" operator="between">
      <formula>4</formula>
      <formula>5</formula>
    </cfRule>
  </conditionalFormatting>
  <conditionalFormatting sqref="E20:E23">
    <cfRule type="cellIs" dxfId="947" priority="161" stopIfTrue="1" operator="between">
      <formula>0.1</formula>
      <formula>1.9</formula>
    </cfRule>
    <cfRule type="cellIs" dxfId="946" priority="162" stopIfTrue="1" operator="between">
      <formula>3</formula>
      <formula>3.9</formula>
    </cfRule>
    <cfRule type="cellIs" dxfId="945" priority="163" stopIfTrue="1" operator="between">
      <formula>4</formula>
      <formula>5</formula>
    </cfRule>
  </conditionalFormatting>
  <conditionalFormatting sqref="E9:E23">
    <cfRule type="cellIs" dxfId="944" priority="160" operator="between">
      <formula>2</formula>
      <formula>2.9</formula>
    </cfRule>
  </conditionalFormatting>
  <conditionalFormatting sqref="E20">
    <cfRule type="cellIs" dxfId="943" priority="157" stopIfTrue="1" operator="between">
      <formula>0.1</formula>
      <formula>1.9</formula>
    </cfRule>
    <cfRule type="cellIs" dxfId="942" priority="158" stopIfTrue="1" operator="between">
      <formula>3</formula>
      <formula>3.9</formula>
    </cfRule>
    <cfRule type="cellIs" dxfId="941" priority="159" stopIfTrue="1" operator="between">
      <formula>4</formula>
      <formula>5</formula>
    </cfRule>
  </conditionalFormatting>
  <conditionalFormatting sqref="E9:E23">
    <cfRule type="cellIs" dxfId="940" priority="156" operator="equal">
      <formula>""</formula>
    </cfRule>
  </conditionalFormatting>
  <conditionalFormatting sqref="F34:F35">
    <cfRule type="cellIs" dxfId="939" priority="153" stopIfTrue="1" operator="between">
      <formula>0.1</formula>
      <formula>1.9</formula>
    </cfRule>
    <cfRule type="cellIs" dxfId="938" priority="154" stopIfTrue="1" operator="between">
      <formula>3</formula>
      <formula>3.9</formula>
    </cfRule>
    <cfRule type="cellIs" dxfId="937" priority="155" stopIfTrue="1" operator="between">
      <formula>4</formula>
      <formula>5</formula>
    </cfRule>
  </conditionalFormatting>
  <conditionalFormatting sqref="F34">
    <cfRule type="cellIs" dxfId="936" priority="150" stopIfTrue="1" operator="between">
      <formula>0.1</formula>
      <formula>1.9</formula>
    </cfRule>
    <cfRule type="cellIs" dxfId="935" priority="151" stopIfTrue="1" operator="between">
      <formula>3</formula>
      <formula>3.9</formula>
    </cfRule>
    <cfRule type="cellIs" dxfId="934" priority="152" stopIfTrue="1" operator="between">
      <formula>4</formula>
      <formula>5</formula>
    </cfRule>
  </conditionalFormatting>
  <conditionalFormatting sqref="F34:F35">
    <cfRule type="cellIs" dxfId="933" priority="149" operator="between">
      <formula>2</formula>
      <formula>2.9</formula>
    </cfRule>
  </conditionalFormatting>
  <conditionalFormatting sqref="F34:F35">
    <cfRule type="cellIs" dxfId="932" priority="148" operator="equal">
      <formula>""</formula>
    </cfRule>
  </conditionalFormatting>
  <conditionalFormatting sqref="E31">
    <cfRule type="cellIs" dxfId="931" priority="145" stopIfTrue="1" operator="between">
      <formula>0.1</formula>
      <formula>1.9</formula>
    </cfRule>
    <cfRule type="cellIs" dxfId="930" priority="146" stopIfTrue="1" operator="between">
      <formula>3</formula>
      <formula>3.9</formula>
    </cfRule>
    <cfRule type="cellIs" dxfId="929" priority="147" stopIfTrue="1" operator="between">
      <formula>4</formula>
      <formula>5</formula>
    </cfRule>
  </conditionalFormatting>
  <conditionalFormatting sqref="E26">
    <cfRule type="cellIs" dxfId="928" priority="142" stopIfTrue="1" operator="between">
      <formula>0.1</formula>
      <formula>1.9</formula>
    </cfRule>
    <cfRule type="cellIs" dxfId="927" priority="143" stopIfTrue="1" operator="between">
      <formula>3</formula>
      <formula>3.9</formula>
    </cfRule>
    <cfRule type="cellIs" dxfId="926" priority="144" stopIfTrue="1" operator="between">
      <formula>4</formula>
      <formula>5</formula>
    </cfRule>
  </conditionalFormatting>
  <conditionalFormatting sqref="E27">
    <cfRule type="cellIs" dxfId="925" priority="139" stopIfTrue="1" operator="between">
      <formula>0.1</formula>
      <formula>1.9</formula>
    </cfRule>
    <cfRule type="cellIs" dxfId="924" priority="140" stopIfTrue="1" operator="between">
      <formula>3</formula>
      <formula>3.9</formula>
    </cfRule>
    <cfRule type="cellIs" dxfId="923" priority="141" stopIfTrue="1" operator="between">
      <formula>4</formula>
      <formula>5</formula>
    </cfRule>
  </conditionalFormatting>
  <conditionalFormatting sqref="E27">
    <cfRule type="cellIs" dxfId="922" priority="136" stopIfTrue="1" operator="between">
      <formula>0.1</formula>
      <formula>1.9</formula>
    </cfRule>
    <cfRule type="cellIs" dxfId="921" priority="137" stopIfTrue="1" operator="between">
      <formula>3</formula>
      <formula>3.9</formula>
    </cfRule>
    <cfRule type="cellIs" dxfId="920" priority="138" stopIfTrue="1" operator="between">
      <formula>4</formula>
      <formula>5</formula>
    </cfRule>
  </conditionalFormatting>
  <conditionalFormatting sqref="E28">
    <cfRule type="cellIs" dxfId="919" priority="133" stopIfTrue="1" operator="between">
      <formula>0.1</formula>
      <formula>1.9</formula>
    </cfRule>
    <cfRule type="cellIs" dxfId="918" priority="134" stopIfTrue="1" operator="between">
      <formula>3</formula>
      <formula>3.9</formula>
    </cfRule>
    <cfRule type="cellIs" dxfId="917" priority="135" stopIfTrue="1" operator="between">
      <formula>4</formula>
      <formula>5</formula>
    </cfRule>
  </conditionalFormatting>
  <conditionalFormatting sqref="E25">
    <cfRule type="cellIs" dxfId="916" priority="130" stopIfTrue="1" operator="between">
      <formula>0.1</formula>
      <formula>1.9</formula>
    </cfRule>
    <cfRule type="cellIs" dxfId="915" priority="131" stopIfTrue="1" operator="between">
      <formula>3</formula>
      <formula>3.9</formula>
    </cfRule>
    <cfRule type="cellIs" dxfId="914" priority="132" stopIfTrue="1" operator="between">
      <formula>4</formula>
      <formula>5</formula>
    </cfRule>
  </conditionalFormatting>
  <conditionalFormatting sqref="E26">
    <cfRule type="cellIs" dxfId="913" priority="127" stopIfTrue="1" operator="between">
      <formula>0.1</formula>
      <formula>1.9</formula>
    </cfRule>
    <cfRule type="cellIs" dxfId="912" priority="128" stopIfTrue="1" operator="between">
      <formula>3</formula>
      <formula>3.9</formula>
    </cfRule>
    <cfRule type="cellIs" dxfId="911" priority="129" stopIfTrue="1" operator="between">
      <formula>4</formula>
      <formula>5</formula>
    </cfRule>
  </conditionalFormatting>
  <conditionalFormatting sqref="E26">
    <cfRule type="cellIs" dxfId="910" priority="124" stopIfTrue="1" operator="between">
      <formula>0.1</formula>
      <formula>1.9</formula>
    </cfRule>
    <cfRule type="cellIs" dxfId="909" priority="125" stopIfTrue="1" operator="between">
      <formula>3</formula>
      <formula>3.9</formula>
    </cfRule>
    <cfRule type="cellIs" dxfId="908" priority="126" stopIfTrue="1" operator="between">
      <formula>4</formula>
      <formula>5</formula>
    </cfRule>
  </conditionalFormatting>
  <conditionalFormatting sqref="E27">
    <cfRule type="cellIs" dxfId="907" priority="121" stopIfTrue="1" operator="between">
      <formula>0.1</formula>
      <formula>1.9</formula>
    </cfRule>
    <cfRule type="cellIs" dxfId="906" priority="122" stopIfTrue="1" operator="between">
      <formula>3</formula>
      <formula>3.9</formula>
    </cfRule>
    <cfRule type="cellIs" dxfId="905" priority="123" stopIfTrue="1" operator="between">
      <formula>4</formula>
      <formula>5</formula>
    </cfRule>
  </conditionalFormatting>
  <conditionalFormatting sqref="E20">
    <cfRule type="cellIs" dxfId="904" priority="118" stopIfTrue="1" operator="between">
      <formula>0.1</formula>
      <formula>1.9</formula>
    </cfRule>
    <cfRule type="cellIs" dxfId="903" priority="119" stopIfTrue="1" operator="between">
      <formula>3</formula>
      <formula>3.9</formula>
    </cfRule>
    <cfRule type="cellIs" dxfId="902" priority="120" stopIfTrue="1" operator="between">
      <formula>4</formula>
      <formula>5</formula>
    </cfRule>
  </conditionalFormatting>
  <conditionalFormatting sqref="E21">
    <cfRule type="cellIs" dxfId="901" priority="115" stopIfTrue="1" operator="between">
      <formula>0.1</formula>
      <formula>1.9</formula>
    </cfRule>
    <cfRule type="cellIs" dxfId="900" priority="116" stopIfTrue="1" operator="between">
      <formula>3</formula>
      <formula>3.9</formula>
    </cfRule>
    <cfRule type="cellIs" dxfId="899" priority="117" stopIfTrue="1" operator="between">
      <formula>4</formula>
      <formula>5</formula>
    </cfRule>
  </conditionalFormatting>
  <conditionalFormatting sqref="E31">
    <cfRule type="cellIs" dxfId="898" priority="112" stopIfTrue="1" operator="between">
      <formula>0.1</formula>
      <formula>1.9</formula>
    </cfRule>
    <cfRule type="cellIs" dxfId="897" priority="113" stopIfTrue="1" operator="between">
      <formula>3</formula>
      <formula>3.9</formula>
    </cfRule>
    <cfRule type="cellIs" dxfId="896" priority="114" stopIfTrue="1" operator="between">
      <formula>4</formula>
      <formula>5</formula>
    </cfRule>
  </conditionalFormatting>
  <conditionalFormatting sqref="E32">
    <cfRule type="cellIs" dxfId="895" priority="109" stopIfTrue="1" operator="between">
      <formula>0.1</formula>
      <formula>1.9</formula>
    </cfRule>
    <cfRule type="cellIs" dxfId="894" priority="110" stopIfTrue="1" operator="between">
      <formula>3</formula>
      <formula>3.9</formula>
    </cfRule>
    <cfRule type="cellIs" dxfId="893" priority="111" stopIfTrue="1" operator="between">
      <formula>4</formula>
      <formula>5</formula>
    </cfRule>
  </conditionalFormatting>
  <conditionalFormatting sqref="F33">
    <cfRule type="cellIs" dxfId="892" priority="106" stopIfTrue="1" operator="between">
      <formula>0.1</formula>
      <formula>1.9</formula>
    </cfRule>
    <cfRule type="cellIs" dxfId="891" priority="107" stopIfTrue="1" operator="between">
      <formula>3</formula>
      <formula>3.9</formula>
    </cfRule>
    <cfRule type="cellIs" dxfId="890" priority="108" stopIfTrue="1" operator="between">
      <formula>4</formula>
      <formula>5</formula>
    </cfRule>
  </conditionalFormatting>
  <conditionalFormatting sqref="F30:F33">
    <cfRule type="cellIs" dxfId="889" priority="103" stopIfTrue="1" operator="between">
      <formula>0.1</formula>
      <formula>1.9</formula>
    </cfRule>
    <cfRule type="cellIs" dxfId="888" priority="104" stopIfTrue="1" operator="between">
      <formula>3</formula>
      <formula>3.9</formula>
    </cfRule>
    <cfRule type="cellIs" dxfId="887" priority="105" stopIfTrue="1" operator="between">
      <formula>4</formula>
      <formula>5</formula>
    </cfRule>
  </conditionalFormatting>
  <conditionalFormatting sqref="F30:F33">
    <cfRule type="cellIs" dxfId="886" priority="100" stopIfTrue="1" operator="between">
      <formula>0.1</formula>
      <formula>1.9</formula>
    </cfRule>
    <cfRule type="cellIs" dxfId="885" priority="101" stopIfTrue="1" operator="between">
      <formula>3</formula>
      <formula>3.9</formula>
    </cfRule>
    <cfRule type="cellIs" dxfId="884" priority="102" stopIfTrue="1" operator="between">
      <formula>4</formula>
      <formula>5</formula>
    </cfRule>
  </conditionalFormatting>
  <conditionalFormatting sqref="F30:F33">
    <cfRule type="cellIs" dxfId="883" priority="99" operator="between">
      <formula>2</formula>
      <formula>2.9</formula>
    </cfRule>
  </conditionalFormatting>
  <conditionalFormatting sqref="F23:F31">
    <cfRule type="cellIs" dxfId="882" priority="96" stopIfTrue="1" operator="between">
      <formula>0.1</formula>
      <formula>1.9</formula>
    </cfRule>
    <cfRule type="cellIs" dxfId="881" priority="97" stopIfTrue="1" operator="between">
      <formula>3</formula>
      <formula>3.9</formula>
    </cfRule>
    <cfRule type="cellIs" dxfId="880" priority="98" stopIfTrue="1" operator="between">
      <formula>4</formula>
      <formula>5</formula>
    </cfRule>
  </conditionalFormatting>
  <conditionalFormatting sqref="F25">
    <cfRule type="cellIs" dxfId="879" priority="93" stopIfTrue="1" operator="between">
      <formula>0.1</formula>
      <formula>1.9</formula>
    </cfRule>
    <cfRule type="cellIs" dxfId="878" priority="94" stopIfTrue="1" operator="between">
      <formula>3</formula>
      <formula>3.9</formula>
    </cfRule>
    <cfRule type="cellIs" dxfId="877" priority="95" stopIfTrue="1" operator="between">
      <formula>4</formula>
      <formula>5</formula>
    </cfRule>
  </conditionalFormatting>
  <conditionalFormatting sqref="F23:F27">
    <cfRule type="cellIs" dxfId="876" priority="90" stopIfTrue="1" operator="between">
      <formula>0.1</formula>
      <formula>1.9</formula>
    </cfRule>
    <cfRule type="cellIs" dxfId="875" priority="91" stopIfTrue="1" operator="between">
      <formula>3</formula>
      <formula>3.9</formula>
    </cfRule>
    <cfRule type="cellIs" dxfId="874" priority="92" stopIfTrue="1" operator="between">
      <formula>4</formula>
      <formula>5</formula>
    </cfRule>
  </conditionalFormatting>
  <conditionalFormatting sqref="F25:F31">
    <cfRule type="cellIs" dxfId="873" priority="87" stopIfTrue="1" operator="between">
      <formula>0.1</formula>
      <formula>1.9</formula>
    </cfRule>
    <cfRule type="cellIs" dxfId="872" priority="88" stopIfTrue="1" operator="between">
      <formula>3</formula>
      <formula>3.9</formula>
    </cfRule>
    <cfRule type="cellIs" dxfId="871" priority="89" stopIfTrue="1" operator="between">
      <formula>4</formula>
      <formula>5</formula>
    </cfRule>
  </conditionalFormatting>
  <conditionalFormatting sqref="F23:F31">
    <cfRule type="cellIs" dxfId="870" priority="86" operator="between">
      <formula>2</formula>
      <formula>2.9</formula>
    </cfRule>
  </conditionalFormatting>
  <conditionalFormatting sqref="F26">
    <cfRule type="cellIs" dxfId="869" priority="83" stopIfTrue="1" operator="between">
      <formula>0.1</formula>
      <formula>1.9</formula>
    </cfRule>
    <cfRule type="cellIs" dxfId="868" priority="84" stopIfTrue="1" operator="between">
      <formula>3</formula>
      <formula>3.9</formula>
    </cfRule>
    <cfRule type="cellIs" dxfId="867" priority="85" stopIfTrue="1" operator="between">
      <formula>4</formula>
      <formula>5</formula>
    </cfRule>
  </conditionalFormatting>
  <conditionalFormatting sqref="F24">
    <cfRule type="cellIs" dxfId="866" priority="80" stopIfTrue="1" operator="between">
      <formula>0.1</formula>
      <formula>1.9</formula>
    </cfRule>
    <cfRule type="cellIs" dxfId="865" priority="81" stopIfTrue="1" operator="between">
      <formula>3</formula>
      <formula>3.9</formula>
    </cfRule>
    <cfRule type="cellIs" dxfId="864" priority="82" stopIfTrue="1" operator="between">
      <formula>4</formula>
      <formula>5</formula>
    </cfRule>
  </conditionalFormatting>
  <conditionalFormatting sqref="F25">
    <cfRule type="cellIs" dxfId="863" priority="77" stopIfTrue="1" operator="between">
      <formula>0.1</formula>
      <formula>1.9</formula>
    </cfRule>
    <cfRule type="cellIs" dxfId="862" priority="78" stopIfTrue="1" operator="between">
      <formula>3</formula>
      <formula>3.9</formula>
    </cfRule>
    <cfRule type="cellIs" dxfId="861" priority="79" stopIfTrue="1" operator="between">
      <formula>4</formula>
      <formula>5</formula>
    </cfRule>
  </conditionalFormatting>
  <conditionalFormatting sqref="F23:F33">
    <cfRule type="cellIs" dxfId="860" priority="76" operator="equal">
      <formula>""</formula>
    </cfRule>
  </conditionalFormatting>
  <conditionalFormatting sqref="F19">
    <cfRule type="cellIs" dxfId="859" priority="73" stopIfTrue="1" operator="between">
      <formula>0.1</formula>
      <formula>1.9</formula>
    </cfRule>
    <cfRule type="cellIs" dxfId="858" priority="74" stopIfTrue="1" operator="between">
      <formula>3</formula>
      <formula>3.9</formula>
    </cfRule>
    <cfRule type="cellIs" dxfId="857" priority="75" stopIfTrue="1" operator="between">
      <formula>4</formula>
      <formula>5</formula>
    </cfRule>
  </conditionalFormatting>
  <conditionalFormatting sqref="F9:F23">
    <cfRule type="cellIs" dxfId="856" priority="70" stopIfTrue="1" operator="between">
      <formula>0.1</formula>
      <formula>1.9</formula>
    </cfRule>
    <cfRule type="cellIs" dxfId="855" priority="71" stopIfTrue="1" operator="between">
      <formula>3</formula>
      <formula>3.9</formula>
    </cfRule>
    <cfRule type="cellIs" dxfId="854" priority="72" stopIfTrue="1" operator="between">
      <formula>4</formula>
      <formula>5</formula>
    </cfRule>
  </conditionalFormatting>
  <conditionalFormatting sqref="F20:F23">
    <cfRule type="cellIs" dxfId="853" priority="67" stopIfTrue="1" operator="between">
      <formula>0.1</formula>
      <formula>1.9</formula>
    </cfRule>
    <cfRule type="cellIs" dxfId="852" priority="68" stopIfTrue="1" operator="between">
      <formula>3</formula>
      <formula>3.9</formula>
    </cfRule>
    <cfRule type="cellIs" dxfId="851" priority="69" stopIfTrue="1" operator="between">
      <formula>4</formula>
      <formula>5</formula>
    </cfRule>
  </conditionalFormatting>
  <conditionalFormatting sqref="F9:F23">
    <cfRule type="cellIs" dxfId="850" priority="66" operator="between">
      <formula>2</formula>
      <formula>2.9</formula>
    </cfRule>
  </conditionalFormatting>
  <conditionalFormatting sqref="F20">
    <cfRule type="cellIs" dxfId="849" priority="63" stopIfTrue="1" operator="between">
      <formula>0.1</formula>
      <formula>1.9</formula>
    </cfRule>
    <cfRule type="cellIs" dxfId="848" priority="64" stopIfTrue="1" operator="between">
      <formula>3</formula>
      <formula>3.9</formula>
    </cfRule>
    <cfRule type="cellIs" dxfId="847" priority="65" stopIfTrue="1" operator="between">
      <formula>4</formula>
      <formula>5</formula>
    </cfRule>
  </conditionalFormatting>
  <conditionalFormatting sqref="F9:F23">
    <cfRule type="cellIs" dxfId="846" priority="62" operator="equal">
      <formula>""</formula>
    </cfRule>
  </conditionalFormatting>
  <conditionalFormatting sqref="F26">
    <cfRule type="cellIs" dxfId="845" priority="59" stopIfTrue="1" operator="between">
      <formula>0.1</formula>
      <formula>1.9</formula>
    </cfRule>
    <cfRule type="cellIs" dxfId="844" priority="60" stopIfTrue="1" operator="between">
      <formula>3</formula>
      <formula>3.9</formula>
    </cfRule>
    <cfRule type="cellIs" dxfId="843" priority="61" stopIfTrue="1" operator="between">
      <formula>4</formula>
      <formula>5</formula>
    </cfRule>
  </conditionalFormatting>
  <conditionalFormatting sqref="F27">
    <cfRule type="cellIs" dxfId="842" priority="56" stopIfTrue="1" operator="between">
      <formula>0.1</formula>
      <formula>1.9</formula>
    </cfRule>
    <cfRule type="cellIs" dxfId="841" priority="57" stopIfTrue="1" operator="between">
      <formula>3</formula>
      <formula>3.9</formula>
    </cfRule>
    <cfRule type="cellIs" dxfId="840" priority="58" stopIfTrue="1" operator="between">
      <formula>4</formula>
      <formula>5</formula>
    </cfRule>
  </conditionalFormatting>
  <conditionalFormatting sqref="F25">
    <cfRule type="cellIs" dxfId="839" priority="53" stopIfTrue="1" operator="between">
      <formula>0.1</formula>
      <formula>1.9</formula>
    </cfRule>
    <cfRule type="cellIs" dxfId="838" priority="54" stopIfTrue="1" operator="between">
      <formula>3</formula>
      <formula>3.9</formula>
    </cfRule>
    <cfRule type="cellIs" dxfId="837" priority="55" stopIfTrue="1" operator="between">
      <formula>4</formula>
      <formula>5</formula>
    </cfRule>
  </conditionalFormatting>
  <conditionalFormatting sqref="F26">
    <cfRule type="cellIs" dxfId="836" priority="50" stopIfTrue="1" operator="between">
      <formula>0.1</formula>
      <formula>1.9</formula>
    </cfRule>
    <cfRule type="cellIs" dxfId="835" priority="51" stopIfTrue="1" operator="between">
      <formula>3</formula>
      <formula>3.9</formula>
    </cfRule>
    <cfRule type="cellIs" dxfId="834" priority="52" stopIfTrue="1" operator="between">
      <formula>4</formula>
      <formula>5</formula>
    </cfRule>
  </conditionalFormatting>
  <conditionalFormatting sqref="F20">
    <cfRule type="cellIs" dxfId="833" priority="47" stopIfTrue="1" operator="between">
      <formula>0.1</formula>
      <formula>1.9</formula>
    </cfRule>
    <cfRule type="cellIs" dxfId="832" priority="48" stopIfTrue="1" operator="between">
      <formula>3</formula>
      <formula>3.9</formula>
    </cfRule>
    <cfRule type="cellIs" dxfId="831" priority="49" stopIfTrue="1" operator="between">
      <formula>4</formula>
      <formula>5</formula>
    </cfRule>
  </conditionalFormatting>
  <conditionalFormatting sqref="F21">
    <cfRule type="cellIs" dxfId="830" priority="44" stopIfTrue="1" operator="between">
      <formula>0.1</formula>
      <formula>1.9</formula>
    </cfRule>
    <cfRule type="cellIs" dxfId="829" priority="45" stopIfTrue="1" operator="between">
      <formula>3</formula>
      <formula>3.9</formula>
    </cfRule>
    <cfRule type="cellIs" dxfId="828" priority="46" stopIfTrue="1" operator="between">
      <formula>4</formula>
      <formula>5</formula>
    </cfRule>
  </conditionalFormatting>
  <conditionalFormatting sqref="O9:P38">
    <cfRule type="cellIs" dxfId="827" priority="41" operator="equal">
      <formula>"2F/1S"</formula>
    </cfRule>
    <cfRule type="cellIs" dxfId="826" priority="42" operator="equal">
      <formula>"1F"</formula>
    </cfRule>
    <cfRule type="cellIs" dxfId="825" priority="43" operator="equal">
      <formula>"&lt;1F"</formula>
    </cfRule>
  </conditionalFormatting>
  <conditionalFormatting sqref="M9:M44">
    <cfRule type="cellIs" dxfId="824" priority="32" stopIfTrue="1" operator="between">
      <formula>"D-3"</formula>
      <formula>"E-5"</formula>
    </cfRule>
    <cfRule type="cellIs" dxfId="823" priority="33" stopIfTrue="1" operator="between">
      <formula>"B-2"</formula>
      <formula>"B-3"</formula>
    </cfRule>
    <cfRule type="cellIs" dxfId="822" priority="34" stopIfTrue="1" operator="between">
      <formula>"A-1"</formula>
      <formula>"A-2"</formula>
    </cfRule>
  </conditionalFormatting>
  <conditionalFormatting sqref="M9:M44">
    <cfRule type="cellIs" dxfId="821" priority="30" operator="equal">
      <formula>"E-5-"</formula>
    </cfRule>
    <cfRule type="cellIs" dxfId="820" priority="31" operator="equal">
      <formula>"A-1+"</formula>
    </cfRule>
  </conditionalFormatting>
  <conditionalFormatting sqref="L9:L44">
    <cfRule type="cellIs" dxfId="819" priority="24" operator="equal">
      <formula>""</formula>
    </cfRule>
    <cfRule type="cellIs" dxfId="818" priority="25" operator="between">
      <formula>4</formula>
      <formula>5</formula>
    </cfRule>
    <cfRule type="cellIs" dxfId="817" priority="26" operator="between">
      <formula>3</formula>
      <formula>4</formula>
    </cfRule>
    <cfRule type="cellIs" dxfId="816" priority="27" operator="between">
      <formula>2</formula>
      <formula>3</formula>
    </cfRule>
    <cfRule type="cellIs" dxfId="815" priority="28" operator="between">
      <formula>1</formula>
      <formula>2</formula>
    </cfRule>
    <cfRule type="cellIs" dxfId="814" priority="29" operator="between">
      <formula>0</formula>
      <formula>1</formula>
    </cfRule>
  </conditionalFormatting>
  <conditionalFormatting sqref="M9:M44">
    <cfRule type="cellIs" dxfId="813" priority="22" operator="equal">
      <formula>"C-4"</formula>
    </cfRule>
    <cfRule type="cellIs" dxfId="812" priority="23" operator="equal">
      <formula>"C-3"</formula>
    </cfRule>
  </conditionalFormatting>
  <conditionalFormatting sqref="U45:AD45">
    <cfRule type="cellIs" dxfId="811" priority="14" operator="greaterThan">
      <formula>0</formula>
    </cfRule>
  </conditionalFormatting>
  <conditionalFormatting sqref="D45:J45 L45:M45">
    <cfRule type="cellIs" dxfId="810" priority="9" stopIfTrue="1" operator="between">
      <formula>4</formula>
      <formula>5</formula>
    </cfRule>
    <cfRule type="cellIs" dxfId="809" priority="10" stopIfTrue="1" operator="between">
      <formula>3</formula>
      <formula>4</formula>
    </cfRule>
    <cfRule type="cellIs" dxfId="808" priority="13" stopIfTrue="1" operator="between">
      <formula>0</formula>
      <formula>1</formula>
    </cfRule>
  </conditionalFormatting>
  <conditionalFormatting sqref="D45:J45 L45:M45">
    <cfRule type="cellIs" dxfId="807" priority="11" operator="between">
      <formula>2</formula>
      <formula>3</formula>
    </cfRule>
  </conditionalFormatting>
  <conditionalFormatting sqref="D45:J45 L45:M45">
    <cfRule type="cellIs" dxfId="806" priority="1" operator="equal">
      <formula>""</formula>
    </cfRule>
  </conditionalFormatting>
  <conditionalFormatting sqref="D46:J46 L46:M46">
    <cfRule type="cellIs" dxfId="805" priority="4" stopIfTrue="1" operator="between">
      <formula>"D-3"</formula>
      <formula>"E-5"</formula>
    </cfRule>
    <cfRule type="cellIs" dxfId="804" priority="5" stopIfTrue="1" operator="between">
      <formula>"B-2"</formula>
      <formula>"B-3"</formula>
    </cfRule>
    <cfRule type="cellIs" dxfId="803" priority="6" stopIfTrue="1" operator="between">
      <formula>"A-1"</formula>
      <formula>"A-2"</formula>
    </cfRule>
  </conditionalFormatting>
  <conditionalFormatting sqref="D46:J46 L46:M46">
    <cfRule type="cellIs" dxfId="802" priority="7" operator="equal">
      <formula>"E-5-"</formula>
    </cfRule>
    <cfRule type="cellIs" dxfId="801" priority="8" operator="equal">
      <formula>"A-1+"</formula>
    </cfRule>
  </conditionalFormatting>
  <conditionalFormatting sqref="D46:J46 L46:M46">
    <cfRule type="cellIs" dxfId="800" priority="2" operator="equal">
      <formula>"C-4"</formula>
    </cfRule>
    <cfRule type="cellIs" dxfId="799" priority="3" operator="equal">
      <formula>"C-3"</formula>
    </cfRule>
  </conditionalFormatting>
  <conditionalFormatting sqref="D45:J45 L45:M45">
    <cfRule type="cellIs" dxfId="798" priority="12" operator="between">
      <formula>1</formula>
      <formula>2</formula>
    </cfRule>
  </conditionalFormatting>
  <dataValidations count="1">
    <dataValidation type="list" allowBlank="1" showInputMessage="1" showErrorMessage="1" sqref="O9:Q44" xr:uid="{489703D1-97A0-49DB-B16F-605C9BD6451C}">
      <formula1>"1F,2F/1S,"</formula1>
    </dataValidation>
  </dataValidations>
  <pageMargins left="0.54" right="0.26" top="0.49" bottom="0.43" header="0.24" footer="0.24"/>
  <pageSetup paperSize="9" scale="81"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E3A8-7109-42FC-8EAC-7AA3F2A445D1}">
  <dimension ref="A1:E202"/>
  <sheetViews>
    <sheetView zoomScaleNormal="100" workbookViewId="0">
      <selection activeCell="I14" sqref="I14"/>
    </sheetView>
  </sheetViews>
  <sheetFormatPr defaultColWidth="9.1796875" defaultRowHeight="14.5" x14ac:dyDescent="0.35"/>
  <cols>
    <col min="1" max="1" width="13.453125" style="668" bestFit="1" customWidth="1"/>
    <col min="2" max="2" width="18.54296875" style="669" bestFit="1" customWidth="1"/>
    <col min="3" max="3" width="8.453125" style="669" bestFit="1" customWidth="1"/>
    <col min="4" max="1025" width="8.54296875" style="669" customWidth="1"/>
    <col min="1026" max="16384" width="9.1796875" style="669"/>
  </cols>
  <sheetData>
    <row r="1" spans="1:5" x14ac:dyDescent="0.35">
      <c r="A1" s="668" t="s">
        <v>426</v>
      </c>
      <c r="B1" s="669" t="s">
        <v>427</v>
      </c>
      <c r="C1" s="669" t="s">
        <v>428</v>
      </c>
      <c r="E1" s="669" t="s">
        <v>429</v>
      </c>
    </row>
    <row r="2" spans="1:5" x14ac:dyDescent="0.35">
      <c r="A2" s="670">
        <v>20</v>
      </c>
      <c r="B2" s="671">
        <v>0.66800000000000004</v>
      </c>
      <c r="C2" s="671">
        <v>0.78</v>
      </c>
      <c r="E2" s="672">
        <v>0.99</v>
      </c>
    </row>
    <row r="3" spans="1:5" x14ac:dyDescent="0.35">
      <c r="A3" s="670">
        <f t="shared" ref="A3:A37" si="0">A2+0.1</f>
        <v>20.100000000000001</v>
      </c>
      <c r="B3" s="671">
        <v>0.66800000000000004</v>
      </c>
      <c r="C3" s="671">
        <v>0.78</v>
      </c>
      <c r="E3" s="672">
        <v>0.99</v>
      </c>
    </row>
    <row r="4" spans="1:5" x14ac:dyDescent="0.35">
      <c r="A4" s="670">
        <f t="shared" si="0"/>
        <v>20.200000000000003</v>
      </c>
      <c r="B4" s="671">
        <v>0.66800000000000004</v>
      </c>
      <c r="C4" s="671">
        <v>0.78</v>
      </c>
      <c r="E4" s="672">
        <v>0.99</v>
      </c>
    </row>
    <row r="5" spans="1:5" x14ac:dyDescent="0.35">
      <c r="A5" s="670">
        <f t="shared" si="0"/>
        <v>20.300000000000004</v>
      </c>
      <c r="B5" s="671">
        <v>0.66800000000000004</v>
      </c>
      <c r="C5" s="671">
        <v>0.78</v>
      </c>
      <c r="E5" s="672">
        <v>0.99</v>
      </c>
    </row>
    <row r="6" spans="1:5" x14ac:dyDescent="0.35">
      <c r="A6" s="670">
        <f t="shared" si="0"/>
        <v>20.400000000000006</v>
      </c>
      <c r="B6" s="671">
        <v>0.66800000000000004</v>
      </c>
      <c r="C6" s="671">
        <v>0.78</v>
      </c>
      <c r="E6" s="672">
        <v>0.99</v>
      </c>
    </row>
    <row r="7" spans="1:5" x14ac:dyDescent="0.35">
      <c r="A7" s="670">
        <f t="shared" si="0"/>
        <v>20.500000000000007</v>
      </c>
      <c r="B7" s="671">
        <v>0.66800000000000004</v>
      </c>
      <c r="C7" s="671">
        <v>0.78</v>
      </c>
      <c r="E7" s="672">
        <v>0.99</v>
      </c>
    </row>
    <row r="8" spans="1:5" x14ac:dyDescent="0.35">
      <c r="A8" s="670">
        <f t="shared" si="0"/>
        <v>20.600000000000009</v>
      </c>
      <c r="B8" s="671">
        <v>0.66800000000000004</v>
      </c>
      <c r="C8" s="671">
        <v>0.78</v>
      </c>
      <c r="E8" s="672">
        <v>0.99</v>
      </c>
    </row>
    <row r="9" spans="1:5" x14ac:dyDescent="0.35">
      <c r="A9" s="670">
        <f t="shared" si="0"/>
        <v>20.70000000000001</v>
      </c>
      <c r="B9" s="671">
        <v>0.66800000000000004</v>
      </c>
      <c r="C9" s="671">
        <v>0.78</v>
      </c>
      <c r="E9" s="672">
        <v>0.99</v>
      </c>
    </row>
    <row r="10" spans="1:5" x14ac:dyDescent="0.35">
      <c r="A10" s="670">
        <f t="shared" si="0"/>
        <v>20.800000000000011</v>
      </c>
      <c r="B10" s="671">
        <v>0.66800000000000004</v>
      </c>
      <c r="C10" s="671">
        <v>0.78</v>
      </c>
      <c r="E10" s="672">
        <v>0.99</v>
      </c>
    </row>
    <row r="11" spans="1:5" x14ac:dyDescent="0.35">
      <c r="A11" s="670">
        <f t="shared" si="0"/>
        <v>20.900000000000013</v>
      </c>
      <c r="B11" s="671">
        <v>0.66800000000000004</v>
      </c>
      <c r="C11" s="671">
        <v>0.78</v>
      </c>
      <c r="E11" s="672">
        <v>0.99</v>
      </c>
    </row>
    <row r="12" spans="1:5" x14ac:dyDescent="0.35">
      <c r="A12" s="670">
        <f t="shared" si="0"/>
        <v>21.000000000000014</v>
      </c>
      <c r="B12" s="671">
        <v>0.63900000000000001</v>
      </c>
      <c r="C12" s="671">
        <v>0.751</v>
      </c>
      <c r="E12" s="672">
        <v>0.98699999999999999</v>
      </c>
    </row>
    <row r="13" spans="1:5" x14ac:dyDescent="0.35">
      <c r="A13" s="670">
        <f t="shared" si="0"/>
        <v>21.100000000000016</v>
      </c>
      <c r="B13" s="671">
        <v>0.63900000000000001</v>
      </c>
      <c r="C13" s="671">
        <v>0.751</v>
      </c>
      <c r="E13" s="672">
        <v>0.98699999999999999</v>
      </c>
    </row>
    <row r="14" spans="1:5" x14ac:dyDescent="0.35">
      <c r="A14" s="670">
        <f t="shared" si="0"/>
        <v>21.200000000000017</v>
      </c>
      <c r="B14" s="671">
        <v>0.63900000000000001</v>
      </c>
      <c r="C14" s="671">
        <v>0.751</v>
      </c>
      <c r="E14" s="672">
        <v>0.98699999999999999</v>
      </c>
    </row>
    <row r="15" spans="1:5" x14ac:dyDescent="0.35">
      <c r="A15" s="670">
        <f t="shared" si="0"/>
        <v>21.300000000000018</v>
      </c>
      <c r="B15" s="671">
        <v>0.63900000000000001</v>
      </c>
      <c r="C15" s="671">
        <v>0.751</v>
      </c>
      <c r="E15" s="672">
        <v>0.98699999999999999</v>
      </c>
    </row>
    <row r="16" spans="1:5" x14ac:dyDescent="0.35">
      <c r="A16" s="670">
        <f t="shared" si="0"/>
        <v>21.40000000000002</v>
      </c>
      <c r="B16" s="671">
        <v>0.63900000000000001</v>
      </c>
      <c r="C16" s="671">
        <v>0.751</v>
      </c>
      <c r="E16" s="672">
        <v>0.98699999999999999</v>
      </c>
    </row>
    <row r="17" spans="1:5" x14ac:dyDescent="0.35">
      <c r="A17" s="670">
        <f t="shared" si="0"/>
        <v>21.500000000000021</v>
      </c>
      <c r="B17" s="671">
        <v>0.63900000000000001</v>
      </c>
      <c r="C17" s="671">
        <v>0.751</v>
      </c>
      <c r="E17" s="672">
        <v>0.98699999999999999</v>
      </c>
    </row>
    <row r="18" spans="1:5" x14ac:dyDescent="0.35">
      <c r="A18" s="670">
        <f t="shared" si="0"/>
        <v>21.600000000000023</v>
      </c>
      <c r="B18" s="671">
        <v>0.63900000000000001</v>
      </c>
      <c r="C18" s="671">
        <v>0.751</v>
      </c>
      <c r="E18" s="672">
        <v>0.98699999999999999</v>
      </c>
    </row>
    <row r="19" spans="1:5" x14ac:dyDescent="0.35">
      <c r="A19" s="670">
        <f t="shared" si="0"/>
        <v>21.700000000000024</v>
      </c>
      <c r="B19" s="671">
        <v>0.63900000000000001</v>
      </c>
      <c r="C19" s="671">
        <v>0.751</v>
      </c>
      <c r="E19" s="672">
        <v>0.98699999999999999</v>
      </c>
    </row>
    <row r="20" spans="1:5" x14ac:dyDescent="0.35">
      <c r="A20" s="670">
        <f t="shared" si="0"/>
        <v>21.800000000000026</v>
      </c>
      <c r="B20" s="671">
        <v>0.63900000000000001</v>
      </c>
      <c r="C20" s="671">
        <v>0.751</v>
      </c>
      <c r="E20" s="672">
        <v>0.98699999999999999</v>
      </c>
    </row>
    <row r="21" spans="1:5" x14ac:dyDescent="0.35">
      <c r="A21" s="670">
        <f t="shared" si="0"/>
        <v>21.900000000000027</v>
      </c>
      <c r="B21" s="671">
        <v>0.63900000000000001</v>
      </c>
      <c r="C21" s="671">
        <v>0.751</v>
      </c>
      <c r="E21" s="672">
        <v>0.98699999999999999</v>
      </c>
    </row>
    <row r="22" spans="1:5" x14ac:dyDescent="0.35">
      <c r="A22" s="670">
        <f t="shared" si="0"/>
        <v>22.000000000000028</v>
      </c>
      <c r="B22" s="671">
        <v>0.61099999999999999</v>
      </c>
      <c r="C22" s="671">
        <v>0.70699999999999996</v>
      </c>
      <c r="E22" s="672">
        <v>0.97599999999999998</v>
      </c>
    </row>
    <row r="23" spans="1:5" x14ac:dyDescent="0.35">
      <c r="A23" s="670">
        <f t="shared" si="0"/>
        <v>22.10000000000003</v>
      </c>
      <c r="B23" s="671">
        <v>0.61099999999999999</v>
      </c>
      <c r="C23" s="671">
        <v>0.70699999999999996</v>
      </c>
      <c r="E23" s="672">
        <v>0.97599999999999998</v>
      </c>
    </row>
    <row r="24" spans="1:5" x14ac:dyDescent="0.35">
      <c r="A24" s="670">
        <f t="shared" si="0"/>
        <v>22.200000000000031</v>
      </c>
      <c r="B24" s="671">
        <v>0.61099999999999999</v>
      </c>
      <c r="C24" s="671">
        <v>0.70699999999999996</v>
      </c>
      <c r="E24" s="672">
        <v>0.97599999999999998</v>
      </c>
    </row>
    <row r="25" spans="1:5" x14ac:dyDescent="0.35">
      <c r="A25" s="670">
        <f t="shared" si="0"/>
        <v>22.300000000000033</v>
      </c>
      <c r="B25" s="671">
        <v>0.61099999999999999</v>
      </c>
      <c r="C25" s="671">
        <v>0.70699999999999996</v>
      </c>
      <c r="E25" s="672">
        <v>0.97599999999999998</v>
      </c>
    </row>
    <row r="26" spans="1:5" x14ac:dyDescent="0.35">
      <c r="A26" s="670">
        <f t="shared" si="0"/>
        <v>22.400000000000034</v>
      </c>
      <c r="B26" s="671">
        <v>0.61099999999999999</v>
      </c>
      <c r="C26" s="671">
        <v>0.70699999999999996</v>
      </c>
      <c r="E26" s="672">
        <v>0.97599999999999998</v>
      </c>
    </row>
    <row r="27" spans="1:5" x14ac:dyDescent="0.35">
      <c r="A27" s="670">
        <f t="shared" si="0"/>
        <v>22.500000000000036</v>
      </c>
      <c r="B27" s="671">
        <v>0.61099999999999999</v>
      </c>
      <c r="C27" s="671">
        <v>0.70699999999999996</v>
      </c>
      <c r="E27" s="672">
        <v>0.97599999999999998</v>
      </c>
    </row>
    <row r="28" spans="1:5" x14ac:dyDescent="0.35">
      <c r="A28" s="670">
        <f t="shared" si="0"/>
        <v>22.600000000000037</v>
      </c>
      <c r="B28" s="671">
        <v>0.61099999999999999</v>
      </c>
      <c r="C28" s="671">
        <v>0.70699999999999996</v>
      </c>
      <c r="E28" s="672">
        <v>0.97599999999999998</v>
      </c>
    </row>
    <row r="29" spans="1:5" x14ac:dyDescent="0.35">
      <c r="A29" s="670">
        <f t="shared" si="0"/>
        <v>22.700000000000038</v>
      </c>
      <c r="B29" s="671">
        <v>0.61099999999999999</v>
      </c>
      <c r="C29" s="671">
        <v>0.70699999999999996</v>
      </c>
      <c r="E29" s="672">
        <v>0.97599999999999998</v>
      </c>
    </row>
    <row r="30" spans="1:5" x14ac:dyDescent="0.35">
      <c r="A30" s="670">
        <f t="shared" si="0"/>
        <v>22.80000000000004</v>
      </c>
      <c r="B30" s="671">
        <v>0.61099999999999999</v>
      </c>
      <c r="C30" s="671">
        <v>0.70699999999999996</v>
      </c>
      <c r="E30" s="672">
        <v>0.97599999999999998</v>
      </c>
    </row>
    <row r="31" spans="1:5" x14ac:dyDescent="0.35">
      <c r="A31" s="670">
        <f t="shared" si="0"/>
        <v>22.900000000000041</v>
      </c>
      <c r="B31" s="671">
        <v>0.61099999999999999</v>
      </c>
      <c r="C31" s="671">
        <v>0.70699999999999996</v>
      </c>
      <c r="E31" s="672">
        <v>0.97599999999999998</v>
      </c>
    </row>
    <row r="32" spans="1:5" x14ac:dyDescent="0.35">
      <c r="A32" s="670">
        <f t="shared" si="0"/>
        <v>23.000000000000043</v>
      </c>
      <c r="B32" s="671">
        <v>0.58599999999999997</v>
      </c>
      <c r="C32" s="671">
        <v>0.68400000000000005</v>
      </c>
      <c r="E32" s="672">
        <v>0.97399999999999998</v>
      </c>
    </row>
    <row r="33" spans="1:5" x14ac:dyDescent="0.35">
      <c r="A33" s="670">
        <f t="shared" si="0"/>
        <v>23.100000000000044</v>
      </c>
      <c r="B33" s="671">
        <v>0.58599999999999997</v>
      </c>
      <c r="C33" s="671">
        <v>0.68400000000000005</v>
      </c>
      <c r="E33" s="672">
        <v>0.97399999999999998</v>
      </c>
    </row>
    <row r="34" spans="1:5" x14ac:dyDescent="0.35">
      <c r="A34" s="670">
        <f t="shared" si="0"/>
        <v>23.200000000000045</v>
      </c>
      <c r="B34" s="671">
        <v>0.58599999999999997</v>
      </c>
      <c r="C34" s="671">
        <v>0.68400000000000005</v>
      </c>
      <c r="E34" s="672">
        <v>0.97399999999999998</v>
      </c>
    </row>
    <row r="35" spans="1:5" x14ac:dyDescent="0.35">
      <c r="A35" s="670">
        <f t="shared" si="0"/>
        <v>23.300000000000047</v>
      </c>
      <c r="B35" s="671">
        <v>0.58599999999999997</v>
      </c>
      <c r="C35" s="671">
        <v>0.68400000000000005</v>
      </c>
      <c r="E35" s="672">
        <v>0.97399999999999998</v>
      </c>
    </row>
    <row r="36" spans="1:5" x14ac:dyDescent="0.35">
      <c r="A36" s="670">
        <f t="shared" si="0"/>
        <v>23.400000000000048</v>
      </c>
      <c r="B36" s="671">
        <v>0.58599999999999997</v>
      </c>
      <c r="C36" s="671">
        <v>0.68400000000000005</v>
      </c>
      <c r="E36" s="672">
        <v>0.97399999999999998</v>
      </c>
    </row>
    <row r="37" spans="1:5" x14ac:dyDescent="0.35">
      <c r="A37" s="670">
        <f t="shared" si="0"/>
        <v>23.50000000000005</v>
      </c>
      <c r="B37" s="671">
        <v>0.58599999999999997</v>
      </c>
      <c r="C37" s="671">
        <v>0.68400000000000005</v>
      </c>
      <c r="E37" s="672">
        <v>0.97399999999999998</v>
      </c>
    </row>
    <row r="38" spans="1:5" x14ac:dyDescent="0.35">
      <c r="A38" s="670">
        <v>23.6</v>
      </c>
      <c r="B38" s="671">
        <v>0.58599999999999997</v>
      </c>
      <c r="C38" s="671">
        <v>0.68400000000000005</v>
      </c>
      <c r="E38" s="672">
        <v>0.97399999999999998</v>
      </c>
    </row>
    <row r="39" spans="1:5" x14ac:dyDescent="0.35">
      <c r="A39" s="670">
        <v>23.7</v>
      </c>
      <c r="B39" s="671">
        <v>0.58599999999999997</v>
      </c>
      <c r="C39" s="671">
        <v>0.68400000000000005</v>
      </c>
      <c r="E39" s="672">
        <v>0.97399999999999998</v>
      </c>
    </row>
    <row r="40" spans="1:5" x14ac:dyDescent="0.35">
      <c r="A40" s="670">
        <v>23.8</v>
      </c>
      <c r="B40" s="671">
        <v>0.58599999999999997</v>
      </c>
      <c r="C40" s="671">
        <v>0.68400000000000005</v>
      </c>
      <c r="E40" s="672">
        <v>0.97399999999999998</v>
      </c>
    </row>
    <row r="41" spans="1:5" x14ac:dyDescent="0.35">
      <c r="A41" s="670">
        <v>23.9</v>
      </c>
      <c r="B41" s="671">
        <v>0.58599999999999997</v>
      </c>
      <c r="C41" s="671">
        <v>0.68400000000000005</v>
      </c>
      <c r="E41" s="672">
        <v>0.97399999999999998</v>
      </c>
    </row>
    <row r="42" spans="1:5" x14ac:dyDescent="0.35">
      <c r="A42" s="670">
        <v>24</v>
      </c>
      <c r="B42" s="671">
        <v>0.56599999999999995</v>
      </c>
      <c r="C42" s="671">
        <v>0.66400000000000003</v>
      </c>
      <c r="E42" s="672">
        <v>0.97199999999999998</v>
      </c>
    </row>
    <row r="43" spans="1:5" x14ac:dyDescent="0.35">
      <c r="A43" s="670">
        <v>24.1</v>
      </c>
      <c r="B43" s="671">
        <v>0.56599999999999995</v>
      </c>
      <c r="C43" s="671">
        <v>0.66400000000000003</v>
      </c>
      <c r="E43" s="672">
        <v>0.97199999999999998</v>
      </c>
    </row>
    <row r="44" spans="1:5" x14ac:dyDescent="0.35">
      <c r="A44" s="670">
        <v>24.2</v>
      </c>
      <c r="B44" s="671">
        <v>0.56599999999999995</v>
      </c>
      <c r="C44" s="671">
        <v>0.66400000000000003</v>
      </c>
      <c r="E44" s="672">
        <v>0.97199999999999998</v>
      </c>
    </row>
    <row r="45" spans="1:5" x14ac:dyDescent="0.35">
      <c r="A45" s="670">
        <v>24.3</v>
      </c>
      <c r="B45" s="671">
        <v>0.56599999999999995</v>
      </c>
      <c r="C45" s="671">
        <v>0.66400000000000003</v>
      </c>
      <c r="E45" s="672">
        <v>0.97199999999999998</v>
      </c>
    </row>
    <row r="46" spans="1:5" x14ac:dyDescent="0.35">
      <c r="A46" s="670">
        <v>24.4</v>
      </c>
      <c r="B46" s="671">
        <v>0.56599999999999995</v>
      </c>
      <c r="C46" s="671">
        <v>0.66400000000000003</v>
      </c>
      <c r="E46" s="672">
        <v>0.97199999999999998</v>
      </c>
    </row>
    <row r="47" spans="1:5" x14ac:dyDescent="0.35">
      <c r="A47" s="670">
        <v>24.5</v>
      </c>
      <c r="B47" s="671">
        <v>0.56599999999999995</v>
      </c>
      <c r="C47" s="671">
        <v>0.66400000000000003</v>
      </c>
      <c r="E47" s="672">
        <v>0.97199999999999998</v>
      </c>
    </row>
    <row r="48" spans="1:5" x14ac:dyDescent="0.35">
      <c r="A48" s="670">
        <v>24.6</v>
      </c>
      <c r="B48" s="671">
        <v>0.56599999999999995</v>
      </c>
      <c r="C48" s="671">
        <v>0.66400000000000003</v>
      </c>
      <c r="E48" s="672">
        <v>0.97199999999999998</v>
      </c>
    </row>
    <row r="49" spans="1:5" x14ac:dyDescent="0.35">
      <c r="A49" s="670">
        <v>24.7</v>
      </c>
      <c r="B49" s="671">
        <v>0.56599999999999995</v>
      </c>
      <c r="C49" s="671">
        <v>0.66400000000000003</v>
      </c>
      <c r="E49" s="672">
        <v>0.97199999999999998</v>
      </c>
    </row>
    <row r="50" spans="1:5" x14ac:dyDescent="0.35">
      <c r="A50" s="670">
        <v>24.8</v>
      </c>
      <c r="B50" s="671">
        <v>0.56599999999999995</v>
      </c>
      <c r="C50" s="671">
        <v>0.66400000000000003</v>
      </c>
      <c r="E50" s="672">
        <v>0.97199999999999998</v>
      </c>
    </row>
    <row r="51" spans="1:5" x14ac:dyDescent="0.35">
      <c r="A51" s="670">
        <v>24.9</v>
      </c>
      <c r="B51" s="671">
        <v>0.56599999999999995</v>
      </c>
      <c r="C51" s="671">
        <v>0.66400000000000003</v>
      </c>
      <c r="E51" s="672">
        <v>0.97199999999999998</v>
      </c>
    </row>
    <row r="52" spans="1:5" x14ac:dyDescent="0.35">
      <c r="A52" s="670">
        <v>25</v>
      </c>
      <c r="B52" s="671">
        <v>0.55100000000000005</v>
      </c>
      <c r="C52" s="671">
        <v>0.64900000000000002</v>
      </c>
      <c r="E52" s="672">
        <v>0.96899999999999997</v>
      </c>
    </row>
    <row r="53" spans="1:5" x14ac:dyDescent="0.35">
      <c r="A53" s="670">
        <v>25.1</v>
      </c>
      <c r="B53" s="671">
        <v>0.55100000000000005</v>
      </c>
      <c r="C53" s="671">
        <v>0.64900000000000002</v>
      </c>
      <c r="E53" s="672">
        <v>0.96899999999999997</v>
      </c>
    </row>
    <row r="54" spans="1:5" x14ac:dyDescent="0.35">
      <c r="A54" s="670">
        <v>25.2</v>
      </c>
      <c r="B54" s="671">
        <v>0.55100000000000005</v>
      </c>
      <c r="C54" s="671">
        <v>0.64900000000000002</v>
      </c>
      <c r="E54" s="672">
        <v>0.96899999999999997</v>
      </c>
    </row>
    <row r="55" spans="1:5" x14ac:dyDescent="0.35">
      <c r="A55" s="670">
        <v>25.3</v>
      </c>
      <c r="B55" s="671">
        <v>0.55100000000000005</v>
      </c>
      <c r="C55" s="671">
        <v>0.64900000000000002</v>
      </c>
      <c r="E55" s="672">
        <v>0.96899999999999997</v>
      </c>
    </row>
    <row r="56" spans="1:5" x14ac:dyDescent="0.35">
      <c r="A56" s="670">
        <v>25.4</v>
      </c>
      <c r="B56" s="671">
        <v>0.55100000000000005</v>
      </c>
      <c r="C56" s="671">
        <v>0.64900000000000002</v>
      </c>
      <c r="E56" s="672">
        <v>0.96899999999999997</v>
      </c>
    </row>
    <row r="57" spans="1:5" x14ac:dyDescent="0.35">
      <c r="A57" s="670">
        <v>25.5</v>
      </c>
      <c r="B57" s="671">
        <v>0.55100000000000005</v>
      </c>
      <c r="C57" s="671">
        <v>0.64900000000000002</v>
      </c>
      <c r="E57" s="672">
        <v>0.96899999999999997</v>
      </c>
    </row>
    <row r="58" spans="1:5" x14ac:dyDescent="0.35">
      <c r="A58" s="670">
        <v>25.6</v>
      </c>
      <c r="B58" s="671">
        <v>0.55100000000000005</v>
      </c>
      <c r="C58" s="671">
        <v>0.64900000000000002</v>
      </c>
      <c r="E58" s="672">
        <v>0.96899999999999997</v>
      </c>
    </row>
    <row r="59" spans="1:5" x14ac:dyDescent="0.35">
      <c r="A59" s="670">
        <v>25.7</v>
      </c>
      <c r="B59" s="671">
        <v>0.55100000000000005</v>
      </c>
      <c r="C59" s="671">
        <v>0.64900000000000002</v>
      </c>
      <c r="E59" s="672">
        <v>0.96899999999999997</v>
      </c>
    </row>
    <row r="60" spans="1:5" x14ac:dyDescent="0.35">
      <c r="A60" s="670">
        <v>25.8</v>
      </c>
      <c r="B60" s="671">
        <v>0.55100000000000005</v>
      </c>
      <c r="C60" s="671">
        <v>0.64900000000000002</v>
      </c>
      <c r="E60" s="672">
        <v>0.96899999999999997</v>
      </c>
    </row>
    <row r="61" spans="1:5" x14ac:dyDescent="0.35">
      <c r="A61" s="670">
        <v>25.9</v>
      </c>
      <c r="B61" s="671">
        <v>0.55100000000000005</v>
      </c>
      <c r="C61" s="671">
        <v>0.64900000000000002</v>
      </c>
      <c r="E61" s="672">
        <v>0.96899999999999997</v>
      </c>
    </row>
    <row r="62" spans="1:5" x14ac:dyDescent="0.35">
      <c r="A62" s="670">
        <v>26</v>
      </c>
      <c r="B62" s="671">
        <v>0.53600000000000003</v>
      </c>
      <c r="C62" s="671">
        <v>0.64100000000000001</v>
      </c>
      <c r="E62" s="672">
        <v>0.96899999999999997</v>
      </c>
    </row>
    <row r="63" spans="1:5" x14ac:dyDescent="0.35">
      <c r="A63" s="670">
        <v>26.1</v>
      </c>
      <c r="B63" s="671">
        <v>0.53600000000000003</v>
      </c>
      <c r="C63" s="671">
        <v>0.64100000000000001</v>
      </c>
      <c r="E63" s="672">
        <v>0.96899999999999997</v>
      </c>
    </row>
    <row r="64" spans="1:5" x14ac:dyDescent="0.35">
      <c r="A64" s="670">
        <v>26.2</v>
      </c>
      <c r="B64" s="671">
        <v>0.53600000000000003</v>
      </c>
      <c r="C64" s="671">
        <v>0.64100000000000001</v>
      </c>
      <c r="E64" s="672">
        <v>0.96899999999999997</v>
      </c>
    </row>
    <row r="65" spans="1:5" x14ac:dyDescent="0.35">
      <c r="A65" s="670">
        <v>26.3</v>
      </c>
      <c r="B65" s="671">
        <v>0.53600000000000003</v>
      </c>
      <c r="C65" s="671">
        <v>0.64100000000000001</v>
      </c>
      <c r="E65" s="672">
        <v>0.96899999999999997</v>
      </c>
    </row>
    <row r="66" spans="1:5" x14ac:dyDescent="0.35">
      <c r="A66" s="670">
        <v>26.4</v>
      </c>
      <c r="B66" s="671">
        <v>0.53600000000000003</v>
      </c>
      <c r="C66" s="671">
        <v>0.64100000000000001</v>
      </c>
      <c r="E66" s="672">
        <v>0.96899999999999997</v>
      </c>
    </row>
    <row r="67" spans="1:5" x14ac:dyDescent="0.35">
      <c r="A67" s="670">
        <v>26.5</v>
      </c>
      <c r="B67" s="671">
        <v>0.53600000000000003</v>
      </c>
      <c r="C67" s="671">
        <v>0.64100000000000001</v>
      </c>
      <c r="E67" s="672">
        <v>0.96899999999999997</v>
      </c>
    </row>
    <row r="68" spans="1:5" x14ac:dyDescent="0.35">
      <c r="A68" s="670">
        <v>26.6</v>
      </c>
      <c r="B68" s="671">
        <v>0.53600000000000003</v>
      </c>
      <c r="C68" s="671">
        <v>0.64100000000000001</v>
      </c>
      <c r="E68" s="672">
        <v>0.96899999999999997</v>
      </c>
    </row>
    <row r="69" spans="1:5" x14ac:dyDescent="0.35">
      <c r="A69" s="670">
        <v>26.7</v>
      </c>
      <c r="B69" s="671">
        <v>0.53600000000000003</v>
      </c>
      <c r="C69" s="671">
        <v>0.64100000000000001</v>
      </c>
      <c r="E69" s="672">
        <v>0.96899999999999997</v>
      </c>
    </row>
    <row r="70" spans="1:5" x14ac:dyDescent="0.35">
      <c r="A70" s="670">
        <v>26.8</v>
      </c>
      <c r="B70" s="671">
        <v>0.53600000000000003</v>
      </c>
      <c r="C70" s="671">
        <v>0.64100000000000001</v>
      </c>
      <c r="E70" s="672">
        <v>0.96899999999999997</v>
      </c>
    </row>
    <row r="71" spans="1:5" x14ac:dyDescent="0.35">
      <c r="A71" s="670">
        <v>26.9</v>
      </c>
      <c r="B71" s="671">
        <v>0.53600000000000003</v>
      </c>
      <c r="C71" s="671">
        <v>0.64100000000000001</v>
      </c>
      <c r="E71" s="672">
        <v>0.96899999999999997</v>
      </c>
    </row>
    <row r="72" spans="1:5" x14ac:dyDescent="0.35">
      <c r="A72" s="670">
        <v>27</v>
      </c>
      <c r="B72" s="671">
        <v>0.52100000000000002</v>
      </c>
      <c r="C72" s="671">
        <v>0.628</v>
      </c>
      <c r="E72" s="672">
        <v>0.96699999999999997</v>
      </c>
    </row>
    <row r="73" spans="1:5" x14ac:dyDescent="0.35">
      <c r="A73" s="670">
        <v>27.1</v>
      </c>
      <c r="B73" s="671">
        <v>0.52100000000000002</v>
      </c>
      <c r="C73" s="671">
        <v>0.628</v>
      </c>
      <c r="E73" s="672">
        <v>0.96699999999999997</v>
      </c>
    </row>
    <row r="74" spans="1:5" x14ac:dyDescent="0.35">
      <c r="A74" s="670">
        <v>27.2</v>
      </c>
      <c r="B74" s="671">
        <v>0.52100000000000002</v>
      </c>
      <c r="C74" s="671">
        <v>0.628</v>
      </c>
      <c r="E74" s="672">
        <v>0.96699999999999997</v>
      </c>
    </row>
    <row r="75" spans="1:5" x14ac:dyDescent="0.35">
      <c r="A75" s="670">
        <v>27.3</v>
      </c>
      <c r="B75" s="671">
        <v>0.52100000000000002</v>
      </c>
      <c r="C75" s="671">
        <v>0.628</v>
      </c>
      <c r="E75" s="672">
        <v>0.96699999999999997</v>
      </c>
    </row>
    <row r="76" spans="1:5" x14ac:dyDescent="0.35">
      <c r="A76" s="670">
        <v>27.4</v>
      </c>
      <c r="B76" s="671">
        <v>0.52100000000000002</v>
      </c>
      <c r="C76" s="671">
        <v>0.628</v>
      </c>
      <c r="E76" s="672">
        <v>0.96699999999999997</v>
      </c>
    </row>
    <row r="77" spans="1:5" x14ac:dyDescent="0.35">
      <c r="A77" s="670">
        <v>27.5</v>
      </c>
      <c r="B77" s="671">
        <v>0.52100000000000002</v>
      </c>
      <c r="C77" s="671">
        <v>0.628</v>
      </c>
      <c r="E77" s="672">
        <v>0.96699999999999997</v>
      </c>
    </row>
    <row r="78" spans="1:5" x14ac:dyDescent="0.35">
      <c r="A78" s="670">
        <v>27.6</v>
      </c>
      <c r="B78" s="671">
        <v>0.52100000000000002</v>
      </c>
      <c r="C78" s="671">
        <v>0.628</v>
      </c>
      <c r="E78" s="672">
        <v>0.96699999999999997</v>
      </c>
    </row>
    <row r="79" spans="1:5" x14ac:dyDescent="0.35">
      <c r="A79" s="670">
        <v>27.7</v>
      </c>
      <c r="B79" s="671">
        <v>0.52100000000000002</v>
      </c>
      <c r="C79" s="671">
        <v>0.628</v>
      </c>
      <c r="E79" s="672">
        <v>0.96699999999999997</v>
      </c>
    </row>
    <row r="80" spans="1:5" x14ac:dyDescent="0.35">
      <c r="A80" s="670">
        <v>27.8</v>
      </c>
      <c r="B80" s="671">
        <v>0.52100000000000002</v>
      </c>
      <c r="C80" s="671">
        <v>0.628</v>
      </c>
      <c r="E80" s="672">
        <v>0.96699999999999997</v>
      </c>
    </row>
    <row r="81" spans="1:5" x14ac:dyDescent="0.35">
      <c r="A81" s="670">
        <v>27.9</v>
      </c>
      <c r="B81" s="671">
        <v>0.52100000000000002</v>
      </c>
      <c r="C81" s="671">
        <v>0.628</v>
      </c>
      <c r="E81" s="672">
        <v>0.96699999999999997</v>
      </c>
    </row>
    <row r="82" spans="1:5" x14ac:dyDescent="0.35">
      <c r="A82" s="670">
        <v>28</v>
      </c>
      <c r="B82" s="671">
        <v>0.50600000000000001</v>
      </c>
      <c r="C82" s="671">
        <v>0.62</v>
      </c>
      <c r="E82" s="672">
        <v>0.96499999999999997</v>
      </c>
    </row>
    <row r="83" spans="1:5" x14ac:dyDescent="0.35">
      <c r="A83" s="670">
        <v>28.1</v>
      </c>
      <c r="B83" s="671">
        <v>0.50600000000000001</v>
      </c>
      <c r="C83" s="671">
        <v>0.62</v>
      </c>
      <c r="E83" s="672">
        <v>0.96499999999999997</v>
      </c>
    </row>
    <row r="84" spans="1:5" x14ac:dyDescent="0.35">
      <c r="A84" s="670">
        <v>28.2</v>
      </c>
      <c r="B84" s="671">
        <v>0.50600000000000001</v>
      </c>
      <c r="C84" s="671">
        <v>0.62</v>
      </c>
      <c r="E84" s="672">
        <v>0.96499999999999997</v>
      </c>
    </row>
    <row r="85" spans="1:5" x14ac:dyDescent="0.35">
      <c r="A85" s="670">
        <v>28.3</v>
      </c>
      <c r="B85" s="671">
        <v>0.50600000000000001</v>
      </c>
      <c r="C85" s="671">
        <v>0.62</v>
      </c>
      <c r="E85" s="672">
        <v>0.96499999999999997</v>
      </c>
    </row>
    <row r="86" spans="1:5" x14ac:dyDescent="0.35">
      <c r="A86" s="670">
        <v>28.4</v>
      </c>
      <c r="B86" s="671">
        <v>0.50600000000000001</v>
      </c>
      <c r="C86" s="671">
        <v>0.62</v>
      </c>
      <c r="E86" s="672">
        <v>0.96499999999999997</v>
      </c>
    </row>
    <row r="87" spans="1:5" x14ac:dyDescent="0.35">
      <c r="A87" s="670">
        <v>28.5</v>
      </c>
      <c r="B87" s="671">
        <v>0.50600000000000001</v>
      </c>
      <c r="C87" s="671">
        <v>0.62</v>
      </c>
      <c r="E87" s="672">
        <v>0.96499999999999997</v>
      </c>
    </row>
    <row r="88" spans="1:5" x14ac:dyDescent="0.35">
      <c r="A88" s="670">
        <v>28.6</v>
      </c>
      <c r="B88" s="671">
        <v>0.50600000000000001</v>
      </c>
      <c r="C88" s="671">
        <v>0.62</v>
      </c>
      <c r="E88" s="672">
        <v>0.96499999999999997</v>
      </c>
    </row>
    <row r="89" spans="1:5" x14ac:dyDescent="0.35">
      <c r="A89" s="670">
        <v>28.7</v>
      </c>
      <c r="B89" s="671">
        <v>0.50600000000000001</v>
      </c>
      <c r="C89" s="671">
        <v>0.62</v>
      </c>
      <c r="E89" s="672">
        <v>0.96499999999999997</v>
      </c>
    </row>
    <row r="90" spans="1:5" x14ac:dyDescent="0.35">
      <c r="A90" s="670">
        <v>28.8</v>
      </c>
      <c r="B90" s="671">
        <v>0.50600000000000001</v>
      </c>
      <c r="C90" s="671">
        <v>0.62</v>
      </c>
      <c r="E90" s="672">
        <v>0.96499999999999997</v>
      </c>
    </row>
    <row r="91" spans="1:5" x14ac:dyDescent="0.35">
      <c r="A91" s="670">
        <v>28.9</v>
      </c>
      <c r="B91" s="671">
        <v>0.50600000000000001</v>
      </c>
      <c r="C91" s="671">
        <v>0.62</v>
      </c>
      <c r="E91" s="672">
        <v>0.96499999999999997</v>
      </c>
    </row>
    <row r="92" spans="1:5" x14ac:dyDescent="0.35">
      <c r="A92" s="670">
        <v>29</v>
      </c>
      <c r="B92" s="671">
        <v>0.49</v>
      </c>
      <c r="C92" s="671">
        <v>0.60299999999999998</v>
      </c>
      <c r="E92" s="672">
        <v>0.96099999999999997</v>
      </c>
    </row>
    <row r="93" spans="1:5" x14ac:dyDescent="0.35">
      <c r="A93" s="670">
        <v>29.1</v>
      </c>
      <c r="B93" s="671">
        <v>0.49</v>
      </c>
      <c r="C93" s="671">
        <v>0.60299999999999998</v>
      </c>
      <c r="E93" s="672">
        <v>0.96099999999999997</v>
      </c>
    </row>
    <row r="94" spans="1:5" x14ac:dyDescent="0.35">
      <c r="A94" s="670">
        <v>29.2</v>
      </c>
      <c r="B94" s="671">
        <v>0.49</v>
      </c>
      <c r="C94" s="671">
        <v>0.60299999999999998</v>
      </c>
      <c r="E94" s="672">
        <v>0.96099999999999997</v>
      </c>
    </row>
    <row r="95" spans="1:5" x14ac:dyDescent="0.35">
      <c r="A95" s="670">
        <v>29.3</v>
      </c>
      <c r="B95" s="671">
        <v>0.49</v>
      </c>
      <c r="C95" s="671">
        <v>0.60299999999999998</v>
      </c>
      <c r="E95" s="672">
        <v>0.96099999999999997</v>
      </c>
    </row>
    <row r="96" spans="1:5" x14ac:dyDescent="0.35">
      <c r="A96" s="670">
        <v>29.4</v>
      </c>
      <c r="B96" s="671">
        <v>0.49</v>
      </c>
      <c r="C96" s="671">
        <v>0.60299999999999998</v>
      </c>
      <c r="E96" s="672">
        <v>0.96099999999999997</v>
      </c>
    </row>
    <row r="97" spans="1:5" x14ac:dyDescent="0.35">
      <c r="A97" s="670">
        <v>29.5</v>
      </c>
      <c r="B97" s="671">
        <v>0.49</v>
      </c>
      <c r="C97" s="671">
        <v>0.60299999999999998</v>
      </c>
      <c r="E97" s="672">
        <v>0.96099999999999997</v>
      </c>
    </row>
    <row r="98" spans="1:5" x14ac:dyDescent="0.35">
      <c r="A98" s="670">
        <v>29.6</v>
      </c>
      <c r="B98" s="671">
        <v>0.49</v>
      </c>
      <c r="C98" s="671">
        <v>0.60299999999999998</v>
      </c>
      <c r="E98" s="672">
        <v>0.96099999999999997</v>
      </c>
    </row>
    <row r="99" spans="1:5" x14ac:dyDescent="0.35">
      <c r="A99" s="670">
        <v>29.7</v>
      </c>
      <c r="B99" s="671">
        <v>0.49</v>
      </c>
      <c r="C99" s="671">
        <v>0.60299999999999998</v>
      </c>
      <c r="E99" s="672">
        <v>0.96099999999999997</v>
      </c>
    </row>
    <row r="100" spans="1:5" x14ac:dyDescent="0.35">
      <c r="A100" s="670">
        <v>29.8</v>
      </c>
      <c r="B100" s="671">
        <v>0.49</v>
      </c>
      <c r="C100" s="671">
        <v>0.60299999999999998</v>
      </c>
      <c r="E100" s="672">
        <v>0.96099999999999997</v>
      </c>
    </row>
    <row r="101" spans="1:5" x14ac:dyDescent="0.35">
      <c r="A101" s="670">
        <v>29.9</v>
      </c>
      <c r="B101" s="671">
        <v>0.49</v>
      </c>
      <c r="C101" s="671">
        <v>0.60299999999999998</v>
      </c>
      <c r="E101" s="672">
        <v>0.96099999999999997</v>
      </c>
    </row>
    <row r="102" spans="1:5" x14ac:dyDescent="0.35">
      <c r="A102" s="670">
        <v>30</v>
      </c>
      <c r="B102" s="671">
        <v>0.47299999999999998</v>
      </c>
      <c r="C102" s="671">
        <v>0.59199999999999997</v>
      </c>
      <c r="E102" s="672">
        <v>0.96</v>
      </c>
    </row>
    <row r="103" spans="1:5" x14ac:dyDescent="0.35">
      <c r="A103" s="670">
        <v>30.1</v>
      </c>
      <c r="B103" s="671">
        <v>0.47299999999999998</v>
      </c>
      <c r="C103" s="671">
        <v>0.59199999999999997</v>
      </c>
      <c r="E103" s="672">
        <v>0.96</v>
      </c>
    </row>
    <row r="104" spans="1:5" x14ac:dyDescent="0.35">
      <c r="A104" s="670">
        <v>30.2</v>
      </c>
      <c r="B104" s="671">
        <v>0.47299999999999998</v>
      </c>
      <c r="C104" s="671">
        <v>0.59199999999999997</v>
      </c>
      <c r="E104" s="672">
        <v>0.96</v>
      </c>
    </row>
    <row r="105" spans="1:5" x14ac:dyDescent="0.35">
      <c r="A105" s="670">
        <v>30.3</v>
      </c>
      <c r="B105" s="671">
        <v>0.47299999999999998</v>
      </c>
      <c r="C105" s="671">
        <v>0.59199999999999997</v>
      </c>
      <c r="E105" s="672">
        <v>0.96</v>
      </c>
    </row>
    <row r="106" spans="1:5" x14ac:dyDescent="0.35">
      <c r="A106" s="670">
        <v>30.4</v>
      </c>
      <c r="B106" s="671">
        <v>0.47299999999999998</v>
      </c>
      <c r="C106" s="671">
        <v>0.59199999999999997</v>
      </c>
      <c r="E106" s="672">
        <v>0.96</v>
      </c>
    </row>
    <row r="107" spans="1:5" x14ac:dyDescent="0.35">
      <c r="A107" s="670">
        <v>30.5</v>
      </c>
      <c r="B107" s="671">
        <v>0.47299999999999998</v>
      </c>
      <c r="C107" s="671">
        <v>0.59199999999999997</v>
      </c>
      <c r="E107" s="672">
        <v>0.96</v>
      </c>
    </row>
    <row r="108" spans="1:5" x14ac:dyDescent="0.35">
      <c r="A108" s="670">
        <v>30.6</v>
      </c>
      <c r="B108" s="671">
        <v>0.47299999999999998</v>
      </c>
      <c r="C108" s="671">
        <v>0.59199999999999997</v>
      </c>
      <c r="E108" s="672">
        <v>0.96</v>
      </c>
    </row>
    <row r="109" spans="1:5" x14ac:dyDescent="0.35">
      <c r="A109" s="670">
        <v>30.7</v>
      </c>
      <c r="B109" s="671">
        <v>0.47299999999999998</v>
      </c>
      <c r="C109" s="671">
        <v>0.59199999999999997</v>
      </c>
      <c r="E109" s="672">
        <v>0.96</v>
      </c>
    </row>
    <row r="110" spans="1:5" x14ac:dyDescent="0.35">
      <c r="A110" s="670">
        <v>30.8</v>
      </c>
      <c r="B110" s="671">
        <v>0.47299999999999998</v>
      </c>
      <c r="C110" s="671">
        <v>0.59199999999999997</v>
      </c>
      <c r="E110" s="672">
        <v>0.96</v>
      </c>
    </row>
    <row r="111" spans="1:5" x14ac:dyDescent="0.35">
      <c r="A111" s="670">
        <v>30.9</v>
      </c>
      <c r="B111" s="671">
        <v>0.47299999999999998</v>
      </c>
      <c r="C111" s="671">
        <v>0.59199999999999997</v>
      </c>
      <c r="E111" s="672">
        <v>0.96</v>
      </c>
    </row>
    <row r="112" spans="1:5" x14ac:dyDescent="0.35">
      <c r="A112" s="670">
        <v>31</v>
      </c>
      <c r="B112" s="671">
        <v>0.45500000000000002</v>
      </c>
      <c r="C112" s="671">
        <v>0.57099999999999995</v>
      </c>
      <c r="E112" s="672">
        <v>0.95199999999999996</v>
      </c>
    </row>
    <row r="113" spans="1:5" x14ac:dyDescent="0.35">
      <c r="A113" s="670">
        <v>31.1</v>
      </c>
      <c r="B113" s="671">
        <v>0.45500000000000002</v>
      </c>
      <c r="C113" s="671">
        <v>0.57099999999999995</v>
      </c>
      <c r="E113" s="672">
        <v>0.95199999999999996</v>
      </c>
    </row>
    <row r="114" spans="1:5" x14ac:dyDescent="0.35">
      <c r="A114" s="670">
        <v>31.2</v>
      </c>
      <c r="B114" s="671">
        <v>0.45500000000000002</v>
      </c>
      <c r="C114" s="671">
        <v>0.57099999999999995</v>
      </c>
      <c r="E114" s="672">
        <v>0.95199999999999996</v>
      </c>
    </row>
    <row r="115" spans="1:5" x14ac:dyDescent="0.35">
      <c r="A115" s="670">
        <v>31.3</v>
      </c>
      <c r="B115" s="671">
        <v>0.45500000000000002</v>
      </c>
      <c r="C115" s="671">
        <v>0.57099999999999995</v>
      </c>
      <c r="E115" s="672">
        <v>0.95199999999999996</v>
      </c>
    </row>
    <row r="116" spans="1:5" x14ac:dyDescent="0.35">
      <c r="A116" s="670">
        <v>31.4</v>
      </c>
      <c r="B116" s="671">
        <v>0.45500000000000002</v>
      </c>
      <c r="C116" s="671">
        <v>0.57099999999999995</v>
      </c>
      <c r="E116" s="672">
        <v>0.95199999999999996</v>
      </c>
    </row>
    <row r="117" spans="1:5" x14ac:dyDescent="0.35">
      <c r="A117" s="670">
        <v>31.5</v>
      </c>
      <c r="B117" s="671">
        <v>0.45500000000000002</v>
      </c>
      <c r="C117" s="671">
        <v>0.57099999999999995</v>
      </c>
      <c r="E117" s="672">
        <v>0.95199999999999996</v>
      </c>
    </row>
    <row r="118" spans="1:5" x14ac:dyDescent="0.35">
      <c r="A118" s="670">
        <v>31.6</v>
      </c>
      <c r="B118" s="671">
        <v>0.45500000000000002</v>
      </c>
      <c r="C118" s="671">
        <v>0.57099999999999995</v>
      </c>
      <c r="E118" s="672">
        <v>0.95199999999999996</v>
      </c>
    </row>
    <row r="119" spans="1:5" x14ac:dyDescent="0.35">
      <c r="A119" s="670">
        <v>31.7</v>
      </c>
      <c r="B119" s="671">
        <v>0.45500000000000002</v>
      </c>
      <c r="C119" s="671">
        <v>0.57099999999999995</v>
      </c>
      <c r="E119" s="672">
        <v>0.95199999999999996</v>
      </c>
    </row>
    <row r="120" spans="1:5" x14ac:dyDescent="0.35">
      <c r="A120" s="670">
        <v>31.8</v>
      </c>
      <c r="B120" s="671">
        <v>0.45500000000000002</v>
      </c>
      <c r="C120" s="671">
        <v>0.57099999999999995</v>
      </c>
      <c r="E120" s="672">
        <v>0.95199999999999996</v>
      </c>
    </row>
    <row r="121" spans="1:5" x14ac:dyDescent="0.35">
      <c r="A121" s="670">
        <v>31.9</v>
      </c>
      <c r="B121" s="671">
        <v>0.45500000000000002</v>
      </c>
      <c r="C121" s="671">
        <v>0.57099999999999995</v>
      </c>
      <c r="E121" s="672">
        <v>0.95199999999999996</v>
      </c>
    </row>
    <row r="122" spans="1:5" x14ac:dyDescent="0.35">
      <c r="A122" s="670">
        <v>32</v>
      </c>
      <c r="B122" s="671">
        <v>0.435</v>
      </c>
      <c r="C122" s="671">
        <v>0.55500000000000005</v>
      </c>
      <c r="E122" s="672">
        <v>0.95099999999999996</v>
      </c>
    </row>
    <row r="123" spans="1:5" x14ac:dyDescent="0.35">
      <c r="A123" s="670">
        <v>32.1</v>
      </c>
      <c r="B123" s="671">
        <v>0.435</v>
      </c>
      <c r="C123" s="671">
        <v>0.55500000000000005</v>
      </c>
      <c r="E123" s="672">
        <v>0.95099999999999996</v>
      </c>
    </row>
    <row r="124" spans="1:5" x14ac:dyDescent="0.35">
      <c r="A124" s="670">
        <v>32.200000000000003</v>
      </c>
      <c r="B124" s="671">
        <v>0.435</v>
      </c>
      <c r="C124" s="671">
        <v>0.55500000000000005</v>
      </c>
      <c r="E124" s="672">
        <v>0.95099999999999996</v>
      </c>
    </row>
    <row r="125" spans="1:5" x14ac:dyDescent="0.35">
      <c r="A125" s="670">
        <v>32.299999999999997</v>
      </c>
      <c r="B125" s="671">
        <v>0.435</v>
      </c>
      <c r="C125" s="671">
        <v>0.55500000000000005</v>
      </c>
      <c r="E125" s="672">
        <v>0.95099999999999996</v>
      </c>
    </row>
    <row r="126" spans="1:5" x14ac:dyDescent="0.35">
      <c r="A126" s="670">
        <v>32.4</v>
      </c>
      <c r="B126" s="671">
        <v>0.435</v>
      </c>
      <c r="C126" s="671">
        <v>0.55500000000000005</v>
      </c>
      <c r="E126" s="672">
        <v>0.95099999999999996</v>
      </c>
    </row>
    <row r="127" spans="1:5" x14ac:dyDescent="0.35">
      <c r="A127" s="670">
        <v>32.5</v>
      </c>
      <c r="B127" s="671">
        <v>0.435</v>
      </c>
      <c r="C127" s="671">
        <v>0.55500000000000005</v>
      </c>
      <c r="E127" s="672">
        <v>0.95099999999999996</v>
      </c>
    </row>
    <row r="128" spans="1:5" x14ac:dyDescent="0.35">
      <c r="A128" s="670">
        <v>32.6</v>
      </c>
      <c r="B128" s="671">
        <v>0.435</v>
      </c>
      <c r="C128" s="671">
        <v>0.55500000000000005</v>
      </c>
      <c r="E128" s="672">
        <v>0.95099999999999996</v>
      </c>
    </row>
    <row r="129" spans="1:5" x14ac:dyDescent="0.35">
      <c r="A129" s="670">
        <v>32.700000000000003</v>
      </c>
      <c r="B129" s="671">
        <v>0.435</v>
      </c>
      <c r="C129" s="671">
        <v>0.55500000000000005</v>
      </c>
      <c r="E129" s="672">
        <v>0.95099999999999996</v>
      </c>
    </row>
    <row r="130" spans="1:5" x14ac:dyDescent="0.35">
      <c r="A130" s="670">
        <v>32.799999999999997</v>
      </c>
      <c r="B130" s="671">
        <v>0.435</v>
      </c>
      <c r="C130" s="671">
        <v>0.55500000000000005</v>
      </c>
      <c r="E130" s="672">
        <v>0.95099999999999996</v>
      </c>
    </row>
    <row r="131" spans="1:5" x14ac:dyDescent="0.35">
      <c r="A131" s="670">
        <v>32.9</v>
      </c>
      <c r="B131" s="671">
        <v>0.435</v>
      </c>
      <c r="C131" s="671">
        <v>0.55500000000000005</v>
      </c>
      <c r="E131" s="672">
        <v>0.95099999999999996</v>
      </c>
    </row>
    <row r="132" spans="1:5" x14ac:dyDescent="0.35">
      <c r="A132" s="670">
        <v>33</v>
      </c>
      <c r="B132" s="671">
        <v>0.41499999999999998</v>
      </c>
      <c r="C132" s="671">
        <v>0.53700000000000003</v>
      </c>
      <c r="E132" s="672">
        <v>0.94599999999999995</v>
      </c>
    </row>
    <row r="133" spans="1:5" x14ac:dyDescent="0.35">
      <c r="A133" s="670">
        <v>33.1</v>
      </c>
      <c r="B133" s="671">
        <v>0.41499999999999998</v>
      </c>
      <c r="C133" s="671">
        <v>0.53700000000000003</v>
      </c>
      <c r="E133" s="672">
        <v>0.94599999999999995</v>
      </c>
    </row>
    <row r="134" spans="1:5" x14ac:dyDescent="0.35">
      <c r="A134" s="670">
        <v>33.200000000000003</v>
      </c>
      <c r="B134" s="671">
        <v>0.41499999999999998</v>
      </c>
      <c r="C134" s="671">
        <v>0.53700000000000003</v>
      </c>
      <c r="E134" s="672">
        <v>0.94599999999999995</v>
      </c>
    </row>
    <row r="135" spans="1:5" x14ac:dyDescent="0.35">
      <c r="A135" s="670">
        <v>33.299999999999997</v>
      </c>
      <c r="B135" s="671">
        <v>0.41499999999999998</v>
      </c>
      <c r="C135" s="671">
        <v>0.53700000000000003</v>
      </c>
      <c r="E135" s="672">
        <v>0.94599999999999995</v>
      </c>
    </row>
    <row r="136" spans="1:5" x14ac:dyDescent="0.35">
      <c r="A136" s="670">
        <v>33.4</v>
      </c>
      <c r="B136" s="671">
        <v>0.41499999999999998</v>
      </c>
      <c r="C136" s="671">
        <v>0.53700000000000003</v>
      </c>
      <c r="E136" s="672">
        <v>0.94599999999999995</v>
      </c>
    </row>
    <row r="137" spans="1:5" x14ac:dyDescent="0.35">
      <c r="A137" s="670">
        <v>33.5</v>
      </c>
      <c r="B137" s="671">
        <v>0.41499999999999998</v>
      </c>
      <c r="C137" s="671">
        <v>0.53700000000000003</v>
      </c>
      <c r="E137" s="672">
        <v>0.94599999999999995</v>
      </c>
    </row>
    <row r="138" spans="1:5" x14ac:dyDescent="0.35">
      <c r="A138" s="670">
        <v>33.6</v>
      </c>
      <c r="B138" s="671">
        <v>0.41499999999999998</v>
      </c>
      <c r="C138" s="671">
        <v>0.53700000000000003</v>
      </c>
      <c r="E138" s="672">
        <v>0.94599999999999995</v>
      </c>
    </row>
    <row r="139" spans="1:5" x14ac:dyDescent="0.35">
      <c r="A139" s="670">
        <v>33.700000000000003</v>
      </c>
      <c r="B139" s="671">
        <v>0.41499999999999998</v>
      </c>
      <c r="C139" s="671">
        <v>0.53700000000000003</v>
      </c>
      <c r="E139" s="672">
        <v>0.94599999999999995</v>
      </c>
    </row>
    <row r="140" spans="1:5" x14ac:dyDescent="0.35">
      <c r="A140" s="670">
        <v>33.799999999999997</v>
      </c>
      <c r="B140" s="671">
        <v>0.41499999999999998</v>
      </c>
      <c r="C140" s="671">
        <v>0.53700000000000003</v>
      </c>
      <c r="E140" s="672">
        <v>0.94599999999999995</v>
      </c>
    </row>
    <row r="141" spans="1:5" x14ac:dyDescent="0.35">
      <c r="A141" s="670">
        <v>33.9</v>
      </c>
      <c r="B141" s="671">
        <v>0.41499999999999998</v>
      </c>
      <c r="C141" s="671">
        <v>0.53700000000000003</v>
      </c>
      <c r="E141" s="672">
        <v>0.94599999999999995</v>
      </c>
    </row>
    <row r="142" spans="1:5" x14ac:dyDescent="0.35">
      <c r="A142" s="670">
        <v>34</v>
      </c>
      <c r="B142" s="671">
        <v>0.39500000000000002</v>
      </c>
      <c r="C142" s="671">
        <v>0.504</v>
      </c>
      <c r="E142" s="672">
        <v>0.94099999999999995</v>
      </c>
    </row>
    <row r="143" spans="1:5" x14ac:dyDescent="0.35">
      <c r="A143" s="670">
        <v>34.1</v>
      </c>
      <c r="B143" s="671">
        <v>0.39500000000000002</v>
      </c>
      <c r="C143" s="671">
        <v>0.504</v>
      </c>
      <c r="E143" s="672">
        <v>0.94099999999999995</v>
      </c>
    </row>
    <row r="144" spans="1:5" x14ac:dyDescent="0.35">
      <c r="A144" s="670">
        <v>34.200000000000003</v>
      </c>
      <c r="B144" s="671">
        <v>0.39500000000000002</v>
      </c>
      <c r="C144" s="671">
        <v>0.504</v>
      </c>
      <c r="E144" s="672">
        <v>0.94099999999999995</v>
      </c>
    </row>
    <row r="145" spans="1:5" x14ac:dyDescent="0.35">
      <c r="A145" s="670">
        <v>34.299999999999997</v>
      </c>
      <c r="B145" s="671">
        <v>0.39500000000000002</v>
      </c>
      <c r="C145" s="671">
        <v>0.504</v>
      </c>
      <c r="E145" s="672">
        <v>0.94099999999999995</v>
      </c>
    </row>
    <row r="146" spans="1:5" x14ac:dyDescent="0.35">
      <c r="A146" s="670">
        <v>34.4</v>
      </c>
      <c r="B146" s="671">
        <v>0.39500000000000002</v>
      </c>
      <c r="C146" s="671">
        <v>0.504</v>
      </c>
      <c r="E146" s="672">
        <v>0.94099999999999995</v>
      </c>
    </row>
    <row r="147" spans="1:5" x14ac:dyDescent="0.35">
      <c r="A147" s="670">
        <v>34.5</v>
      </c>
      <c r="B147" s="671">
        <v>0.39500000000000002</v>
      </c>
      <c r="C147" s="671">
        <v>0.504</v>
      </c>
      <c r="E147" s="672">
        <v>0.94099999999999995</v>
      </c>
    </row>
    <row r="148" spans="1:5" x14ac:dyDescent="0.35">
      <c r="A148" s="670">
        <v>34.6</v>
      </c>
      <c r="B148" s="671">
        <v>0.39500000000000002</v>
      </c>
      <c r="C148" s="671">
        <v>0.504</v>
      </c>
      <c r="E148" s="672">
        <v>0.94099999999999995</v>
      </c>
    </row>
    <row r="149" spans="1:5" x14ac:dyDescent="0.35">
      <c r="A149" s="670">
        <v>34.700000000000003</v>
      </c>
      <c r="B149" s="671">
        <v>0.39500000000000002</v>
      </c>
      <c r="C149" s="671">
        <v>0.504</v>
      </c>
      <c r="E149" s="672">
        <v>0.94099999999999995</v>
      </c>
    </row>
    <row r="150" spans="1:5" x14ac:dyDescent="0.35">
      <c r="A150" s="670">
        <v>34.799999999999997</v>
      </c>
      <c r="B150" s="671">
        <v>0.39500000000000002</v>
      </c>
      <c r="C150" s="671">
        <v>0.504</v>
      </c>
      <c r="E150" s="672">
        <v>0.94099999999999995</v>
      </c>
    </row>
    <row r="151" spans="1:5" x14ac:dyDescent="0.35">
      <c r="A151" s="670">
        <v>34.9</v>
      </c>
      <c r="B151" s="671">
        <v>0.39500000000000002</v>
      </c>
      <c r="C151" s="671">
        <v>0.504</v>
      </c>
      <c r="E151" s="672">
        <v>0.94099999999999995</v>
      </c>
    </row>
    <row r="152" spans="1:5" x14ac:dyDescent="0.35">
      <c r="A152" s="670">
        <v>35</v>
      </c>
      <c r="B152" s="671">
        <v>0.375</v>
      </c>
      <c r="C152" s="671">
        <v>0.498</v>
      </c>
      <c r="E152" s="672">
        <v>0.93200000000000005</v>
      </c>
    </row>
    <row r="153" spans="1:5" x14ac:dyDescent="0.35">
      <c r="A153" s="670">
        <v>35.1</v>
      </c>
      <c r="B153" s="671">
        <v>0.375</v>
      </c>
      <c r="C153" s="671">
        <v>0.498</v>
      </c>
      <c r="E153" s="672">
        <v>0.93200000000000005</v>
      </c>
    </row>
    <row r="154" spans="1:5" x14ac:dyDescent="0.35">
      <c r="A154" s="670">
        <v>35.200000000000003</v>
      </c>
      <c r="B154" s="671">
        <v>0.375</v>
      </c>
      <c r="C154" s="671">
        <v>0.498</v>
      </c>
      <c r="E154" s="672">
        <v>0.93200000000000005</v>
      </c>
    </row>
    <row r="155" spans="1:5" x14ac:dyDescent="0.35">
      <c r="A155" s="670">
        <v>35.299999999999997</v>
      </c>
      <c r="B155" s="671">
        <v>0.375</v>
      </c>
      <c r="C155" s="671">
        <v>0.498</v>
      </c>
      <c r="E155" s="672">
        <v>0.93200000000000005</v>
      </c>
    </row>
    <row r="156" spans="1:5" x14ac:dyDescent="0.35">
      <c r="A156" s="670">
        <v>35.4</v>
      </c>
      <c r="B156" s="671">
        <v>0.375</v>
      </c>
      <c r="C156" s="671">
        <v>0.498</v>
      </c>
      <c r="E156" s="672">
        <v>0.93200000000000005</v>
      </c>
    </row>
    <row r="157" spans="1:5" x14ac:dyDescent="0.35">
      <c r="A157" s="670">
        <v>35.5</v>
      </c>
      <c r="B157" s="671">
        <v>0.375</v>
      </c>
      <c r="C157" s="671">
        <v>0.498</v>
      </c>
      <c r="E157" s="672">
        <v>0.93200000000000005</v>
      </c>
    </row>
    <row r="158" spans="1:5" x14ac:dyDescent="0.35">
      <c r="A158" s="670">
        <v>35.6</v>
      </c>
      <c r="B158" s="671">
        <v>0.375</v>
      </c>
      <c r="C158" s="671">
        <v>0.498</v>
      </c>
      <c r="E158" s="672">
        <v>0.93200000000000005</v>
      </c>
    </row>
    <row r="159" spans="1:5" x14ac:dyDescent="0.35">
      <c r="A159" s="670">
        <v>35.700000000000003</v>
      </c>
      <c r="B159" s="671">
        <v>0.375</v>
      </c>
      <c r="C159" s="671">
        <v>0.498</v>
      </c>
      <c r="E159" s="672">
        <v>0.93200000000000005</v>
      </c>
    </row>
    <row r="160" spans="1:5" x14ac:dyDescent="0.35">
      <c r="A160" s="670">
        <v>35.799999999999997</v>
      </c>
      <c r="B160" s="671">
        <v>0.375</v>
      </c>
      <c r="C160" s="671">
        <v>0.498</v>
      </c>
      <c r="E160" s="672">
        <v>0.93200000000000005</v>
      </c>
    </row>
    <row r="161" spans="1:5" x14ac:dyDescent="0.35">
      <c r="A161" s="670">
        <v>35.9</v>
      </c>
      <c r="B161" s="671">
        <v>0.375</v>
      </c>
      <c r="C161" s="671">
        <v>0.498</v>
      </c>
      <c r="E161" s="672">
        <v>0.93200000000000005</v>
      </c>
    </row>
    <row r="162" spans="1:5" x14ac:dyDescent="0.35">
      <c r="A162" s="670">
        <v>36</v>
      </c>
      <c r="B162" s="671">
        <v>0.35699999999999998</v>
      </c>
      <c r="C162" s="671">
        <v>0.47499999999999998</v>
      </c>
      <c r="E162" s="672">
        <v>0.92900000000000005</v>
      </c>
    </row>
    <row r="163" spans="1:5" x14ac:dyDescent="0.35">
      <c r="A163" s="670">
        <v>36.1</v>
      </c>
      <c r="B163" s="671">
        <v>0.35699999999999998</v>
      </c>
      <c r="C163" s="671">
        <v>0.47499999999999998</v>
      </c>
      <c r="E163" s="672">
        <v>0.92900000000000005</v>
      </c>
    </row>
    <row r="164" spans="1:5" x14ac:dyDescent="0.35">
      <c r="A164" s="670">
        <v>36.200000000000003</v>
      </c>
      <c r="B164" s="671">
        <v>0.35699999999999998</v>
      </c>
      <c r="C164" s="671">
        <v>0.47499999999999998</v>
      </c>
      <c r="E164" s="672">
        <v>0.92900000000000005</v>
      </c>
    </row>
    <row r="165" spans="1:5" x14ac:dyDescent="0.35">
      <c r="A165" s="670">
        <v>36.299999999999997</v>
      </c>
      <c r="B165" s="671">
        <v>0.35699999999999998</v>
      </c>
      <c r="C165" s="671">
        <v>0.47499999999999998</v>
      </c>
      <c r="E165" s="672">
        <v>0.92900000000000005</v>
      </c>
    </row>
    <row r="166" spans="1:5" x14ac:dyDescent="0.35">
      <c r="A166" s="670">
        <v>36.4</v>
      </c>
      <c r="B166" s="671">
        <v>0.35699999999999998</v>
      </c>
      <c r="C166" s="671">
        <v>0.47499999999999998</v>
      </c>
      <c r="E166" s="672">
        <v>0.92900000000000005</v>
      </c>
    </row>
    <row r="167" spans="1:5" x14ac:dyDescent="0.35">
      <c r="A167" s="670">
        <v>36.5</v>
      </c>
      <c r="B167" s="671">
        <v>0.35699999999999998</v>
      </c>
      <c r="C167" s="671">
        <v>0.47499999999999998</v>
      </c>
      <c r="E167" s="672">
        <v>0.92900000000000005</v>
      </c>
    </row>
    <row r="168" spans="1:5" x14ac:dyDescent="0.35">
      <c r="A168" s="670">
        <v>36.6</v>
      </c>
      <c r="B168" s="671">
        <v>0.35699999999999998</v>
      </c>
      <c r="C168" s="671">
        <v>0.47499999999999998</v>
      </c>
      <c r="E168" s="672">
        <v>0.92900000000000005</v>
      </c>
    </row>
    <row r="169" spans="1:5" x14ac:dyDescent="0.35">
      <c r="A169" s="670">
        <v>36.700000000000003</v>
      </c>
      <c r="B169" s="671">
        <v>0.35699999999999998</v>
      </c>
      <c r="C169" s="671">
        <v>0.47499999999999998</v>
      </c>
      <c r="E169" s="672">
        <v>0.92900000000000005</v>
      </c>
    </row>
    <row r="170" spans="1:5" x14ac:dyDescent="0.35">
      <c r="A170" s="670">
        <v>36.799999999999997</v>
      </c>
      <c r="B170" s="671">
        <v>0.35699999999999998</v>
      </c>
      <c r="C170" s="671">
        <v>0.47499999999999998</v>
      </c>
      <c r="E170" s="672">
        <v>0.92900000000000005</v>
      </c>
    </row>
    <row r="171" spans="1:5" x14ac:dyDescent="0.35">
      <c r="A171" s="670">
        <v>36.9</v>
      </c>
      <c r="B171" s="671">
        <v>0.35699999999999998</v>
      </c>
      <c r="C171" s="671">
        <v>0.47499999999999998</v>
      </c>
      <c r="E171" s="672">
        <v>0.92900000000000005</v>
      </c>
    </row>
    <row r="172" spans="1:5" x14ac:dyDescent="0.35">
      <c r="A172" s="670">
        <v>37</v>
      </c>
      <c r="B172" s="671">
        <v>0.33900000000000002</v>
      </c>
      <c r="C172" s="671">
        <v>0.46400000000000002</v>
      </c>
      <c r="E172" s="672">
        <v>0.92500000000000004</v>
      </c>
    </row>
    <row r="173" spans="1:5" x14ac:dyDescent="0.35">
      <c r="A173" s="670">
        <v>37.1</v>
      </c>
      <c r="B173" s="671">
        <v>0.33900000000000002</v>
      </c>
      <c r="C173" s="671">
        <v>0.46400000000000002</v>
      </c>
      <c r="E173" s="672">
        <v>0.92500000000000004</v>
      </c>
    </row>
    <row r="174" spans="1:5" x14ac:dyDescent="0.35">
      <c r="A174" s="670">
        <v>37.200000000000003</v>
      </c>
      <c r="B174" s="671">
        <v>0.33900000000000002</v>
      </c>
      <c r="C174" s="671">
        <v>0.46400000000000002</v>
      </c>
      <c r="E174" s="672">
        <v>0.92500000000000004</v>
      </c>
    </row>
    <row r="175" spans="1:5" x14ac:dyDescent="0.35">
      <c r="A175" s="670">
        <v>37.299999999999997</v>
      </c>
      <c r="B175" s="671">
        <v>0.33900000000000002</v>
      </c>
      <c r="C175" s="671">
        <v>0.46400000000000002</v>
      </c>
      <c r="E175" s="672">
        <v>0.92500000000000004</v>
      </c>
    </row>
    <row r="176" spans="1:5" x14ac:dyDescent="0.35">
      <c r="A176" s="670">
        <v>37.4</v>
      </c>
      <c r="B176" s="671">
        <v>0.33900000000000002</v>
      </c>
      <c r="C176" s="671">
        <v>0.46400000000000002</v>
      </c>
      <c r="E176" s="672">
        <v>0.92500000000000004</v>
      </c>
    </row>
    <row r="177" spans="1:5" x14ac:dyDescent="0.35">
      <c r="A177" s="670">
        <v>37.5</v>
      </c>
      <c r="B177" s="671">
        <v>0.33900000000000002</v>
      </c>
      <c r="C177" s="671">
        <v>0.46400000000000002</v>
      </c>
      <c r="E177" s="672">
        <v>0.92500000000000004</v>
      </c>
    </row>
    <row r="178" spans="1:5" x14ac:dyDescent="0.35">
      <c r="A178" s="670">
        <v>37.6</v>
      </c>
      <c r="B178" s="671">
        <v>0.33900000000000002</v>
      </c>
      <c r="C178" s="671">
        <v>0.46400000000000002</v>
      </c>
      <c r="E178" s="672">
        <v>0.92500000000000004</v>
      </c>
    </row>
    <row r="179" spans="1:5" x14ac:dyDescent="0.35">
      <c r="A179" s="670">
        <v>37.700000000000003</v>
      </c>
      <c r="B179" s="671">
        <v>0.33900000000000002</v>
      </c>
      <c r="C179" s="671">
        <v>0.46400000000000002</v>
      </c>
      <c r="E179" s="672">
        <v>0.92500000000000004</v>
      </c>
    </row>
    <row r="180" spans="1:5" x14ac:dyDescent="0.35">
      <c r="A180" s="670">
        <v>37.799999999999997</v>
      </c>
      <c r="B180" s="671">
        <v>0.33900000000000002</v>
      </c>
      <c r="C180" s="671">
        <v>0.46400000000000002</v>
      </c>
      <c r="E180" s="672">
        <v>0.92500000000000004</v>
      </c>
    </row>
    <row r="181" spans="1:5" x14ac:dyDescent="0.35">
      <c r="A181" s="670">
        <v>37.9</v>
      </c>
      <c r="B181" s="671">
        <v>0.33900000000000002</v>
      </c>
      <c r="C181" s="671">
        <v>0.46400000000000002</v>
      </c>
      <c r="E181" s="672">
        <v>0.92500000000000004</v>
      </c>
    </row>
    <row r="182" spans="1:5" x14ac:dyDescent="0.35">
      <c r="A182" s="670">
        <v>38</v>
      </c>
      <c r="B182" s="671">
        <v>0.32100000000000001</v>
      </c>
      <c r="C182" s="671">
        <v>0.441</v>
      </c>
      <c r="E182" s="672">
        <v>0.91800000000000004</v>
      </c>
    </row>
    <row r="183" spans="1:5" x14ac:dyDescent="0.35">
      <c r="A183" s="670">
        <v>38.1</v>
      </c>
      <c r="B183" s="671">
        <v>0.32100000000000001</v>
      </c>
      <c r="C183" s="671">
        <v>0.441</v>
      </c>
      <c r="E183" s="672">
        <v>0.91800000000000004</v>
      </c>
    </row>
    <row r="184" spans="1:5" x14ac:dyDescent="0.35">
      <c r="A184" s="670">
        <v>38.200000000000003</v>
      </c>
      <c r="B184" s="671">
        <v>0.32100000000000001</v>
      </c>
      <c r="C184" s="671">
        <v>0.441</v>
      </c>
      <c r="E184" s="672">
        <v>0.91800000000000004</v>
      </c>
    </row>
    <row r="185" spans="1:5" x14ac:dyDescent="0.35">
      <c r="A185" s="670">
        <v>38.299999999999997</v>
      </c>
      <c r="B185" s="671">
        <v>0.32100000000000001</v>
      </c>
      <c r="C185" s="671">
        <v>0.441</v>
      </c>
      <c r="E185" s="672">
        <v>0.91800000000000004</v>
      </c>
    </row>
    <row r="186" spans="1:5" x14ac:dyDescent="0.35">
      <c r="A186" s="670">
        <v>38.4</v>
      </c>
      <c r="B186" s="671">
        <v>0.32100000000000001</v>
      </c>
      <c r="C186" s="671">
        <v>0.441</v>
      </c>
      <c r="E186" s="672">
        <v>0.91800000000000004</v>
      </c>
    </row>
    <row r="187" spans="1:5" x14ac:dyDescent="0.35">
      <c r="A187" s="670">
        <v>38.5</v>
      </c>
      <c r="B187" s="671">
        <v>0.32100000000000001</v>
      </c>
      <c r="C187" s="671">
        <v>0.441</v>
      </c>
      <c r="E187" s="672">
        <v>0.91800000000000004</v>
      </c>
    </row>
    <row r="188" spans="1:5" x14ac:dyDescent="0.35">
      <c r="A188" s="670">
        <v>38.6</v>
      </c>
      <c r="B188" s="671">
        <v>0.32100000000000001</v>
      </c>
      <c r="C188" s="671">
        <v>0.441</v>
      </c>
      <c r="E188" s="672">
        <v>0.91800000000000004</v>
      </c>
    </row>
    <row r="189" spans="1:5" x14ac:dyDescent="0.35">
      <c r="A189" s="670">
        <v>38.700000000000003</v>
      </c>
      <c r="B189" s="671">
        <v>0.32100000000000001</v>
      </c>
      <c r="C189" s="671">
        <v>0.441</v>
      </c>
      <c r="E189" s="672">
        <v>0.91800000000000004</v>
      </c>
    </row>
    <row r="190" spans="1:5" x14ac:dyDescent="0.35">
      <c r="A190" s="670">
        <v>38.799999999999997</v>
      </c>
      <c r="B190" s="671">
        <v>0.32100000000000001</v>
      </c>
      <c r="C190" s="671">
        <v>0.441</v>
      </c>
      <c r="E190" s="672">
        <v>0.91800000000000004</v>
      </c>
    </row>
    <row r="191" spans="1:5" x14ac:dyDescent="0.35">
      <c r="A191" s="670">
        <v>38.9</v>
      </c>
      <c r="B191" s="671">
        <v>0.32100000000000001</v>
      </c>
      <c r="C191" s="671">
        <v>0.441</v>
      </c>
      <c r="E191" s="672">
        <v>0.91800000000000004</v>
      </c>
    </row>
    <row r="192" spans="1:5" x14ac:dyDescent="0.35">
      <c r="A192" s="670">
        <v>39</v>
      </c>
      <c r="B192" s="671">
        <v>0.30299999999999999</v>
      </c>
      <c r="C192" s="671">
        <v>0.41299999999999998</v>
      </c>
      <c r="E192" s="672">
        <v>0.89500000000000002</v>
      </c>
    </row>
    <row r="193" spans="1:5" x14ac:dyDescent="0.35">
      <c r="A193" s="670">
        <v>39.1</v>
      </c>
      <c r="B193" s="671">
        <v>0.30299999999999999</v>
      </c>
      <c r="C193" s="671">
        <v>0.41299999999999998</v>
      </c>
      <c r="E193" s="672">
        <v>0.89500000000000002</v>
      </c>
    </row>
    <row r="194" spans="1:5" x14ac:dyDescent="0.35">
      <c r="A194" s="670">
        <v>39.200000000000003</v>
      </c>
      <c r="B194" s="671">
        <v>0.30299999999999999</v>
      </c>
      <c r="C194" s="671">
        <v>0.41299999999999998</v>
      </c>
      <c r="E194" s="672">
        <v>0.89500000000000002</v>
      </c>
    </row>
    <row r="195" spans="1:5" x14ac:dyDescent="0.35">
      <c r="A195" s="670">
        <v>39.299999999999997</v>
      </c>
      <c r="B195" s="671">
        <v>0.30299999999999999</v>
      </c>
      <c r="C195" s="671">
        <v>0.41299999999999998</v>
      </c>
      <c r="E195" s="672">
        <v>0.89500000000000002</v>
      </c>
    </row>
    <row r="196" spans="1:5" x14ac:dyDescent="0.35">
      <c r="A196" s="670">
        <v>39.4</v>
      </c>
      <c r="B196" s="671">
        <v>0.30299999999999999</v>
      </c>
      <c r="C196" s="671">
        <v>0.41299999999999998</v>
      </c>
      <c r="E196" s="672">
        <v>0.89500000000000002</v>
      </c>
    </row>
    <row r="197" spans="1:5" x14ac:dyDescent="0.35">
      <c r="A197" s="670">
        <v>39.5</v>
      </c>
      <c r="B197" s="671">
        <v>0.30299999999999999</v>
      </c>
      <c r="C197" s="671">
        <v>0.41299999999999998</v>
      </c>
      <c r="E197" s="672">
        <v>0.89500000000000002</v>
      </c>
    </row>
    <row r="198" spans="1:5" x14ac:dyDescent="0.35">
      <c r="A198" s="670">
        <v>39.6</v>
      </c>
      <c r="B198" s="671">
        <v>0.30299999999999999</v>
      </c>
      <c r="C198" s="671">
        <v>0.41299999999999998</v>
      </c>
      <c r="E198" s="672">
        <v>0.89500000000000002</v>
      </c>
    </row>
    <row r="199" spans="1:5" x14ac:dyDescent="0.35">
      <c r="A199" s="670">
        <v>39.700000000000003</v>
      </c>
      <c r="B199" s="671">
        <v>0.30299999999999999</v>
      </c>
      <c r="C199" s="671">
        <v>0.41299999999999998</v>
      </c>
      <c r="E199" s="672">
        <v>0.89500000000000002</v>
      </c>
    </row>
    <row r="200" spans="1:5" x14ac:dyDescent="0.35">
      <c r="A200" s="670">
        <v>39.799999999999997</v>
      </c>
      <c r="B200" s="671">
        <v>0.30299999999999999</v>
      </c>
      <c r="C200" s="671">
        <v>0.41299999999999998</v>
      </c>
      <c r="E200" s="672">
        <v>0.89500000000000002</v>
      </c>
    </row>
    <row r="201" spans="1:5" x14ac:dyDescent="0.35">
      <c r="A201" s="670">
        <v>39.9</v>
      </c>
      <c r="B201" s="671">
        <v>0.30299999999999999</v>
      </c>
      <c r="C201" s="671">
        <v>0.41299999999999998</v>
      </c>
      <c r="E201" s="672">
        <v>0.89500000000000002</v>
      </c>
    </row>
    <row r="202" spans="1:5" x14ac:dyDescent="0.35">
      <c r="A202" s="670">
        <v>40</v>
      </c>
      <c r="B202" s="671">
        <v>0.30299999999999999</v>
      </c>
      <c r="C202" s="671">
        <v>0.41299999999999998</v>
      </c>
      <c r="E202" s="672">
        <v>0.89500000000000002</v>
      </c>
    </row>
  </sheetData>
  <sheetProtection algorithmName="SHA-512" hashValue="tPHyMoPJ8pEYjW014Glohnut2Bib7EZ/FksZ5OVa6V+Jiq0ZD/twLKNEGvd1LqdBzw/JLw607RBSxmPiIAt8Jw==" saltValue="WZJRKoyOMIq/MN6Wl1Gt1A==" spinCount="100000" sheet="1" objects="1" scenarios="1"/>
  <pageMargins left="0.7" right="0.7" top="0.75" bottom="0.75" header="0.51180555555555496" footer="0.51180555555555496"/>
  <pageSetup paperSize="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243E-F324-416C-84BF-C2056D5D2A8E}">
  <sheetPr>
    <pageSetUpPr fitToPage="1"/>
  </sheetPr>
  <dimension ref="C2:Q71"/>
  <sheetViews>
    <sheetView showGridLines="0" showRowColHeaders="0" zoomScaleNormal="100" workbookViewId="0"/>
  </sheetViews>
  <sheetFormatPr defaultColWidth="8.7265625" defaultRowHeight="14.5" x14ac:dyDescent="0.35"/>
  <cols>
    <col min="1" max="1" width="8.7265625" style="609"/>
    <col min="2" max="2" width="5.54296875" style="609" customWidth="1"/>
    <col min="3" max="4" width="18.54296875" style="609" customWidth="1"/>
    <col min="5" max="5" width="9.54296875" style="608" customWidth="1"/>
    <col min="6" max="7" width="18.54296875" style="609" customWidth="1"/>
    <col min="8" max="8" width="9.54296875" style="609" customWidth="1"/>
    <col min="9" max="10" width="18.54296875" style="609" customWidth="1"/>
    <col min="11" max="11" width="9.54296875" style="609" customWidth="1"/>
    <col min="12" max="13" width="18.54296875" style="609" customWidth="1"/>
    <col min="14" max="14" width="6.54296875" style="609" customWidth="1"/>
    <col min="15" max="15" width="3.26953125" style="609" customWidth="1"/>
    <col min="16" max="17" width="8.7265625" style="609" customWidth="1"/>
    <col min="18" max="16384" width="8.7265625" style="609"/>
  </cols>
  <sheetData>
    <row r="2" spans="3:5" ht="15" thickBot="1" x14ac:dyDescent="0.4">
      <c r="C2" s="607"/>
      <c r="D2" s="607"/>
    </row>
    <row r="3" spans="3:5" ht="22" customHeight="1" thickTop="1" x14ac:dyDescent="0.35">
      <c r="C3" s="782" t="s">
        <v>430</v>
      </c>
      <c r="D3" s="783"/>
      <c r="E3" s="610">
        <f>D10</f>
        <v>0.85</v>
      </c>
    </row>
    <row r="4" spans="3:5" s="611" customFormat="1" ht="25" customHeight="1" thickBot="1" x14ac:dyDescent="0.3">
      <c r="C4" s="784"/>
      <c r="D4" s="785"/>
      <c r="E4" s="610">
        <f>D12</f>
        <v>0.96499999999999997</v>
      </c>
    </row>
    <row r="5" spans="3:5" s="611" customFormat="1" ht="25" customHeight="1" thickTop="1" thickBot="1" x14ac:dyDescent="0.55000000000000004">
      <c r="C5" s="786" t="s">
        <v>406</v>
      </c>
      <c r="D5" s="786"/>
      <c r="E5" s="610">
        <f>D18</f>
        <v>0.50600000000000001</v>
      </c>
    </row>
    <row r="6" spans="3:5" s="611" customFormat="1" ht="25" customHeight="1" thickTop="1" thickBot="1" x14ac:dyDescent="0.3">
      <c r="C6" s="612">
        <v>2020</v>
      </c>
      <c r="D6" s="612">
        <v>2021</v>
      </c>
      <c r="E6" s="610">
        <f>D20</f>
        <v>0.62</v>
      </c>
    </row>
    <row r="7" spans="3:5" s="611" customFormat="1" ht="25" customHeight="1" thickTop="1" thickBot="1" x14ac:dyDescent="0.3">
      <c r="C7" s="613" t="s">
        <v>407</v>
      </c>
      <c r="D7" s="612">
        <v>28.6</v>
      </c>
      <c r="E7" s="614"/>
    </row>
    <row r="8" spans="3:5" s="611" customFormat="1" ht="25" customHeight="1" thickTop="1" x14ac:dyDescent="0.35">
      <c r="C8" s="615"/>
      <c r="D8" s="616"/>
      <c r="E8" s="617">
        <f>$D24</f>
        <v>0.84615384615384615</v>
      </c>
    </row>
    <row r="9" spans="3:5" s="611" customFormat="1" ht="25" customHeight="1" thickBot="1" x14ac:dyDescent="0.4">
      <c r="C9" s="618" t="s">
        <v>408</v>
      </c>
      <c r="D9" s="618"/>
      <c r="E9" s="617">
        <f>$G24</f>
        <v>0.88461538461538458</v>
      </c>
    </row>
    <row r="10" spans="3:5" s="611" customFormat="1" ht="25" customHeight="1" thickTop="1" thickBot="1" x14ac:dyDescent="0.3">
      <c r="C10" s="619" t="s">
        <v>409</v>
      </c>
      <c r="D10" s="620">
        <v>0.85</v>
      </c>
      <c r="E10" s="610">
        <f>$J24</f>
        <v>0.88461538461538458</v>
      </c>
    </row>
    <row r="11" spans="3:5" s="611" customFormat="1" ht="15" customHeight="1" thickTop="1" thickBot="1" x14ac:dyDescent="0.3">
      <c r="C11" s="621"/>
      <c r="D11" s="622"/>
      <c r="E11" s="610" t="e">
        <f>$M24</f>
        <v>#REF!</v>
      </c>
    </row>
    <row r="12" spans="3:5" s="611" customFormat="1" ht="25" customHeight="1" thickTop="1" thickBot="1" x14ac:dyDescent="0.3">
      <c r="C12" s="623" t="s">
        <v>410</v>
      </c>
      <c r="D12" s="624">
        <f>IF($D$7="","",IF($D$7&gt;0,(VLOOKUP($D$7,schoolweging!$A$64:$E$202,5,0))))</f>
        <v>0.96499999999999997</v>
      </c>
      <c r="E12" s="610"/>
    </row>
    <row r="13" spans="3:5" s="611" customFormat="1" ht="25" customHeight="1" thickTop="1" x14ac:dyDescent="0.35">
      <c r="C13" s="615"/>
      <c r="D13" s="625"/>
      <c r="E13" s="617">
        <f>$D25</f>
        <v>0.30769230769230771</v>
      </c>
    </row>
    <row r="14" spans="3:5" s="611" customFormat="1" ht="25" customHeight="1" x14ac:dyDescent="0.35">
      <c r="C14" s="615"/>
      <c r="D14" s="625"/>
      <c r="E14" s="617">
        <f>$G25</f>
        <v>0.38461538461538464</v>
      </c>
    </row>
    <row r="15" spans="3:5" s="611" customFormat="1" ht="25" customHeight="1" x14ac:dyDescent="0.25">
      <c r="E15" s="610">
        <f>$J25</f>
        <v>0.42307692307692307</v>
      </c>
    </row>
    <row r="16" spans="3:5" s="611" customFormat="1" ht="25" customHeight="1" x14ac:dyDescent="0.25">
      <c r="E16" s="610" t="e">
        <f>$M25</f>
        <v>#REF!</v>
      </c>
    </row>
    <row r="17" spans="3:17" ht="25" customHeight="1" thickBot="1" x14ac:dyDescent="0.4">
      <c r="C17" s="626" t="s">
        <v>411</v>
      </c>
      <c r="D17" s="626"/>
      <c r="E17" s="610"/>
    </row>
    <row r="18" spans="3:17" ht="25" customHeight="1" thickTop="1" thickBot="1" x14ac:dyDescent="0.4">
      <c r="C18" s="627" t="s">
        <v>412</v>
      </c>
      <c r="D18" s="628">
        <f>IF($D$7="","",IF($D$7&gt;0,(VLOOKUP($D$7,schoolweging!$A$64:$E$202,2,0))))</f>
        <v>0.50600000000000001</v>
      </c>
      <c r="E18" s="617">
        <f>$D27</f>
        <v>0.96153846153846156</v>
      </c>
    </row>
    <row r="19" spans="3:17" ht="15" customHeight="1" thickTop="1" thickBot="1" x14ac:dyDescent="0.7">
      <c r="C19" s="629"/>
      <c r="D19" s="625"/>
      <c r="E19" s="617">
        <f>$G27</f>
        <v>0.96153846153846156</v>
      </c>
    </row>
    <row r="20" spans="3:17" s="637" customFormat="1" ht="25" customHeight="1" thickTop="1" thickBot="1" x14ac:dyDescent="0.3">
      <c r="C20" s="630" t="s">
        <v>413</v>
      </c>
      <c r="D20" s="631">
        <f>IF($D$7="","",IF($D$7&gt;0,(VLOOKUP($D$7,schoolweging!$A$64:$E$202,3,0))))</f>
        <v>0.62</v>
      </c>
      <c r="E20" s="610">
        <f>$J27</f>
        <v>0.96153846153846156</v>
      </c>
      <c r="F20" s="632"/>
      <c r="G20" s="633"/>
      <c r="H20" s="634"/>
      <c r="I20" s="635"/>
      <c r="J20" s="635"/>
      <c r="K20" s="634"/>
      <c r="L20" s="634"/>
      <c r="M20" s="636"/>
      <c r="O20" s="635"/>
      <c r="P20" s="635"/>
      <c r="Q20" s="616"/>
    </row>
    <row r="21" spans="3:17" ht="29.5" thickTop="1" thickBot="1" x14ac:dyDescent="0.7">
      <c r="C21" s="629"/>
      <c r="D21" s="625"/>
      <c r="E21" s="610" t="e">
        <f>$M27</f>
        <v>#REF!</v>
      </c>
    </row>
    <row r="22" spans="3:17" ht="25" customHeight="1" x14ac:dyDescent="0.5">
      <c r="C22" s="779" t="s">
        <v>414</v>
      </c>
      <c r="D22" s="780"/>
      <c r="E22" s="638"/>
      <c r="F22" s="779" t="s">
        <v>415</v>
      </c>
      <c r="G22" s="780"/>
      <c r="I22" s="779" t="s">
        <v>416</v>
      </c>
      <c r="J22" s="780"/>
      <c r="L22" s="779" t="s">
        <v>417</v>
      </c>
      <c r="M22" s="780"/>
    </row>
    <row r="23" spans="3:17" ht="25" customHeight="1" thickBot="1" x14ac:dyDescent="0.4">
      <c r="C23" s="639" t="s">
        <v>418</v>
      </c>
      <c r="D23" s="640" t="s">
        <v>419</v>
      </c>
      <c r="E23" s="617">
        <f>$D28</f>
        <v>0.53846153846153844</v>
      </c>
      <c r="F23" s="639" t="s">
        <v>418</v>
      </c>
      <c r="G23" s="640" t="s">
        <v>419</v>
      </c>
      <c r="I23" s="641" t="s">
        <v>418</v>
      </c>
      <c r="J23" s="642" t="s">
        <v>419</v>
      </c>
      <c r="L23" s="639" t="s">
        <v>418</v>
      </c>
      <c r="M23" s="640" t="s">
        <v>419</v>
      </c>
    </row>
    <row r="24" spans="3:17" ht="21" x14ac:dyDescent="0.5">
      <c r="C24" s="643" t="s">
        <v>420</v>
      </c>
      <c r="D24" s="644">
        <f>'NIVEAU WAARDE - vorig jaar'!$O$45</f>
        <v>0.84615384615384615</v>
      </c>
      <c r="E24" s="617">
        <f>$G28</f>
        <v>0.53846153846153844</v>
      </c>
      <c r="F24" s="643" t="s">
        <v>420</v>
      </c>
      <c r="G24" s="644">
        <f>'NIVEAU WAARDE - 1e toetsperiode'!$O$45</f>
        <v>0.88461538461538458</v>
      </c>
      <c r="I24" s="645" t="s">
        <v>420</v>
      </c>
      <c r="J24" s="646">
        <f>'NIVEAU WAARDE - 2e toetsperiode'!$O$45</f>
        <v>0.88461538461538458</v>
      </c>
      <c r="L24" s="643" t="s">
        <v>420</v>
      </c>
      <c r="M24" s="647" t="e">
        <f>#REF!</f>
        <v>#REF!</v>
      </c>
    </row>
    <row r="25" spans="3:17" ht="21" customHeight="1" thickBot="1" x14ac:dyDescent="0.55000000000000004">
      <c r="C25" s="648" t="s">
        <v>421</v>
      </c>
      <c r="D25" s="649">
        <f>'NIVEAU WAARDE - vorig jaar'!$O$46</f>
        <v>0.30769230769230771</v>
      </c>
      <c r="E25" s="610">
        <f>$J28</f>
        <v>0.65384615384615385</v>
      </c>
      <c r="F25" s="648" t="s">
        <v>421</v>
      </c>
      <c r="G25" s="649">
        <f>'NIVEAU WAARDE - 1e toetsperiode'!$O$46</f>
        <v>0.38461538461538464</v>
      </c>
      <c r="I25" s="648" t="s">
        <v>421</v>
      </c>
      <c r="J25" s="649">
        <f>'NIVEAU WAARDE - 2e toetsperiode'!$O$46</f>
        <v>0.42307692307692307</v>
      </c>
      <c r="L25" s="648" t="s">
        <v>421</v>
      </c>
      <c r="M25" s="650" t="e">
        <f>#REF!</f>
        <v>#REF!</v>
      </c>
    </row>
    <row r="26" spans="3:17" ht="21.5" thickBot="1" x14ac:dyDescent="0.55000000000000004">
      <c r="C26" s="651"/>
      <c r="D26" s="652"/>
      <c r="E26" s="610" t="e">
        <f>$M28</f>
        <v>#REF!</v>
      </c>
      <c r="F26" s="651"/>
      <c r="G26" s="652"/>
      <c r="I26" s="651"/>
      <c r="J26" s="652"/>
      <c r="L26" s="651"/>
      <c r="M26" s="653"/>
      <c r="N26" s="654"/>
    </row>
    <row r="27" spans="3:17" ht="21" x14ac:dyDescent="0.35">
      <c r="C27" s="655" t="s">
        <v>422</v>
      </c>
      <c r="D27" s="656">
        <f>'NIVEAU WAARDE - vorig jaar'!$P$45</f>
        <v>0.96153846153846156</v>
      </c>
      <c r="E27" s="657"/>
      <c r="F27" s="655" t="s">
        <v>422</v>
      </c>
      <c r="G27" s="656">
        <f>'NIVEAU WAARDE - 1e toetsperiode'!$P$45</f>
        <v>0.96153846153846156</v>
      </c>
      <c r="I27" s="655" t="s">
        <v>422</v>
      </c>
      <c r="J27" s="656">
        <f>'NIVEAU WAARDE - 2e toetsperiode'!$P$45</f>
        <v>0.96153846153846156</v>
      </c>
      <c r="L27" s="655" t="s">
        <v>422</v>
      </c>
      <c r="M27" s="647" t="e">
        <f>#REF!</f>
        <v>#REF!</v>
      </c>
    </row>
    <row r="28" spans="3:17" ht="21.5" thickBot="1" x14ac:dyDescent="0.4">
      <c r="C28" s="658" t="s">
        <v>423</v>
      </c>
      <c r="D28" s="659">
        <f>'NIVEAU WAARDE - vorig jaar'!$P$46</f>
        <v>0.53846153846153844</v>
      </c>
      <c r="E28" s="617">
        <f>$D30</f>
        <v>0.80769230769230771</v>
      </c>
      <c r="F28" s="658" t="s">
        <v>423</v>
      </c>
      <c r="G28" s="659">
        <f>'NIVEAU WAARDE - 1e toetsperiode'!$P$46</f>
        <v>0.53846153846153844</v>
      </c>
      <c r="I28" s="658" t="s">
        <v>423</v>
      </c>
      <c r="J28" s="659">
        <f>'NIVEAU WAARDE - 2e toetsperiode'!$P$46</f>
        <v>0.65384615384615385</v>
      </c>
      <c r="L28" s="658" t="s">
        <v>423</v>
      </c>
      <c r="M28" s="650" t="e">
        <f>#REF!</f>
        <v>#REF!</v>
      </c>
    </row>
    <row r="29" spans="3:17" ht="16" thickBot="1" x14ac:dyDescent="0.4">
      <c r="C29" s="660"/>
      <c r="D29" s="661"/>
      <c r="E29" s="617">
        <f>$G30</f>
        <v>0.88461538461538458</v>
      </c>
      <c r="F29" s="660"/>
      <c r="G29" s="661"/>
      <c r="I29" s="660"/>
      <c r="J29" s="661"/>
      <c r="L29" s="660"/>
      <c r="M29" s="662"/>
    </row>
    <row r="30" spans="3:17" ht="21" x14ac:dyDescent="0.35">
      <c r="C30" s="663" t="s">
        <v>424</v>
      </c>
      <c r="D30" s="656">
        <f>'NIVEAU WAARDE - vorig jaar'!$Q$45</f>
        <v>0.80769230769230771</v>
      </c>
      <c r="E30" s="610">
        <f>$J30</f>
        <v>0.84615384615384615</v>
      </c>
      <c r="F30" s="663" t="s">
        <v>424</v>
      </c>
      <c r="G30" s="656">
        <f>'NIVEAU WAARDE - 1e toetsperiode'!$Q$45</f>
        <v>0.88461538461538458</v>
      </c>
      <c r="I30" s="663" t="s">
        <v>424</v>
      </c>
      <c r="J30" s="656">
        <f>'NIVEAU WAARDE - 2e toetsperiode'!$Q$45</f>
        <v>0.84615384615384615</v>
      </c>
      <c r="L30" s="663" t="s">
        <v>424</v>
      </c>
      <c r="M30" s="647" t="e">
        <f>#REF!</f>
        <v>#REF!</v>
      </c>
    </row>
    <row r="31" spans="3:17" ht="21.5" thickBot="1" x14ac:dyDescent="0.4">
      <c r="C31" s="664" t="s">
        <v>425</v>
      </c>
      <c r="D31" s="659">
        <f>'NIVEAU WAARDE - vorig jaar'!$Q$46</f>
        <v>0.30769230769230771</v>
      </c>
      <c r="E31" s="610" t="e">
        <f>$M30</f>
        <v>#REF!</v>
      </c>
      <c r="F31" s="664" t="s">
        <v>425</v>
      </c>
      <c r="G31" s="659">
        <f>'NIVEAU WAARDE - 1e toetsperiode'!$Q$46</f>
        <v>0.30769230769230771</v>
      </c>
      <c r="I31" s="664" t="s">
        <v>425</v>
      </c>
      <c r="J31" s="659">
        <f>'NIVEAU WAARDE - 2e toetsperiode'!$Q$46</f>
        <v>0.34615384615384615</v>
      </c>
      <c r="L31" s="664" t="s">
        <v>425</v>
      </c>
      <c r="M31" s="650" t="e">
        <f>#REF!</f>
        <v>#REF!</v>
      </c>
    </row>
    <row r="32" spans="3:17" ht="15.5" x14ac:dyDescent="0.35">
      <c r="E32" s="610"/>
      <c r="F32" s="665"/>
    </row>
    <row r="33" spans="3:5" ht="15.5" x14ac:dyDescent="0.35">
      <c r="E33" s="617">
        <f>$D31</f>
        <v>0.30769230769230771</v>
      </c>
    </row>
    <row r="34" spans="3:5" ht="15.5" x14ac:dyDescent="0.35">
      <c r="E34" s="617">
        <f>$G31</f>
        <v>0.30769230769230771</v>
      </c>
    </row>
    <row r="35" spans="3:5" ht="15.5" x14ac:dyDescent="0.35">
      <c r="E35" s="610">
        <f>$J31</f>
        <v>0.34615384615384615</v>
      </c>
    </row>
    <row r="36" spans="3:5" ht="15.5" x14ac:dyDescent="0.35">
      <c r="E36" s="610" t="e">
        <f>$M31</f>
        <v>#REF!</v>
      </c>
    </row>
    <row r="41" spans="3:5" ht="15.5" x14ac:dyDescent="0.35">
      <c r="C41" s="781"/>
      <c r="D41" s="781"/>
      <c r="E41" s="610"/>
    </row>
    <row r="42" spans="3:5" ht="15.5" x14ac:dyDescent="0.35">
      <c r="C42" s="666"/>
      <c r="D42" s="666"/>
      <c r="E42" s="610"/>
    </row>
    <row r="43" spans="3:5" ht="15.5" x14ac:dyDescent="0.35">
      <c r="C43" s="666"/>
      <c r="D43" s="666"/>
      <c r="E43" s="610"/>
    </row>
    <row r="44" spans="3:5" ht="15.5" x14ac:dyDescent="0.35">
      <c r="C44" s="666"/>
      <c r="D44" s="666"/>
      <c r="E44" s="610"/>
    </row>
    <row r="45" spans="3:5" ht="15.5" x14ac:dyDescent="0.35">
      <c r="C45" s="666"/>
      <c r="D45" s="666"/>
      <c r="E45" s="610"/>
    </row>
    <row r="46" spans="3:5" ht="15.5" x14ac:dyDescent="0.35">
      <c r="C46" s="666"/>
      <c r="D46" s="666"/>
      <c r="E46" s="610"/>
    </row>
    <row r="47" spans="3:5" ht="15.5" x14ac:dyDescent="0.35">
      <c r="C47" s="666"/>
      <c r="D47" s="666"/>
      <c r="E47" s="610"/>
    </row>
    <row r="48" spans="3:5" ht="15.5" x14ac:dyDescent="0.35">
      <c r="C48" s="666"/>
      <c r="D48" s="666"/>
      <c r="E48" s="610"/>
    </row>
    <row r="49" spans="3:5" ht="15.5" x14ac:dyDescent="0.35">
      <c r="C49" s="666"/>
      <c r="D49" s="666"/>
      <c r="E49" s="610"/>
    </row>
    <row r="50" spans="3:5" ht="15.5" x14ac:dyDescent="0.35">
      <c r="C50" s="666"/>
      <c r="D50" s="666"/>
      <c r="E50" s="610"/>
    </row>
    <row r="51" spans="3:5" ht="15.5" x14ac:dyDescent="0.35">
      <c r="C51" s="666"/>
      <c r="D51" s="666"/>
      <c r="E51" s="610"/>
    </row>
    <row r="52" spans="3:5" ht="15.5" x14ac:dyDescent="0.35">
      <c r="C52" s="666"/>
      <c r="D52" s="666"/>
      <c r="E52" s="610"/>
    </row>
    <row r="53" spans="3:5" ht="15.5" x14ac:dyDescent="0.35">
      <c r="C53" s="666"/>
      <c r="D53" s="666"/>
      <c r="E53" s="610"/>
    </row>
    <row r="54" spans="3:5" ht="15.5" x14ac:dyDescent="0.35">
      <c r="C54" s="666"/>
      <c r="D54" s="666"/>
      <c r="E54" s="610"/>
    </row>
    <row r="55" spans="3:5" ht="15.5" x14ac:dyDescent="0.35">
      <c r="C55" s="666"/>
      <c r="D55" s="666"/>
      <c r="E55" s="610"/>
    </row>
    <row r="56" spans="3:5" ht="15.5" x14ac:dyDescent="0.35">
      <c r="C56" s="666"/>
      <c r="D56" s="666"/>
      <c r="E56" s="610"/>
    </row>
    <row r="57" spans="3:5" ht="15.5" x14ac:dyDescent="0.35">
      <c r="C57" s="666"/>
      <c r="D57" s="666"/>
      <c r="E57" s="610"/>
    </row>
    <row r="58" spans="3:5" ht="15.5" x14ac:dyDescent="0.35">
      <c r="C58" s="667"/>
      <c r="D58" s="667"/>
      <c r="E58" s="610"/>
    </row>
    <row r="59" spans="3:5" ht="15.5" x14ac:dyDescent="0.35">
      <c r="C59" s="666"/>
      <c r="D59" s="666"/>
      <c r="E59" s="610"/>
    </row>
    <row r="60" spans="3:5" ht="15.5" x14ac:dyDescent="0.35">
      <c r="C60" s="666"/>
      <c r="D60" s="666"/>
      <c r="E60" s="610"/>
    </row>
    <row r="61" spans="3:5" ht="15.5" x14ac:dyDescent="0.35">
      <c r="C61" s="666"/>
      <c r="D61" s="666"/>
      <c r="E61" s="610"/>
    </row>
    <row r="62" spans="3:5" ht="15.5" x14ac:dyDescent="0.35">
      <c r="C62" s="666"/>
      <c r="D62" s="666"/>
      <c r="E62" s="610"/>
    </row>
    <row r="63" spans="3:5" ht="15.5" x14ac:dyDescent="0.35">
      <c r="C63" s="666"/>
      <c r="D63" s="666"/>
      <c r="E63" s="610"/>
    </row>
    <row r="64" spans="3:5" ht="15.5" x14ac:dyDescent="0.35">
      <c r="C64" s="666"/>
      <c r="D64" s="666"/>
      <c r="E64" s="610"/>
    </row>
    <row r="65" spans="3:5" ht="15.5" x14ac:dyDescent="0.35">
      <c r="C65" s="666"/>
      <c r="D65" s="666"/>
      <c r="E65" s="610"/>
    </row>
    <row r="66" spans="3:5" ht="15.5" x14ac:dyDescent="0.35">
      <c r="C66" s="666"/>
      <c r="D66" s="666"/>
      <c r="E66" s="610"/>
    </row>
    <row r="67" spans="3:5" ht="15.5" x14ac:dyDescent="0.35">
      <c r="C67" s="666"/>
      <c r="D67" s="666"/>
      <c r="E67" s="610"/>
    </row>
    <row r="68" spans="3:5" ht="15.5" x14ac:dyDescent="0.35">
      <c r="C68" s="666"/>
      <c r="D68" s="666"/>
      <c r="E68" s="610"/>
    </row>
    <row r="69" spans="3:5" ht="15.5" x14ac:dyDescent="0.35">
      <c r="C69" s="666"/>
      <c r="D69" s="666"/>
      <c r="E69" s="610"/>
    </row>
    <row r="70" spans="3:5" ht="15.5" x14ac:dyDescent="0.35">
      <c r="C70" s="666"/>
      <c r="D70" s="666"/>
      <c r="E70" s="610"/>
    </row>
    <row r="71" spans="3:5" ht="15.5" x14ac:dyDescent="0.35">
      <c r="C71" s="667"/>
      <c r="D71" s="667"/>
      <c r="E71" s="610"/>
    </row>
  </sheetData>
  <sheetProtection sheet="1" objects="1" scenarios="1"/>
  <mergeCells count="7">
    <mergeCell ref="I22:J22"/>
    <mergeCell ref="L22:M22"/>
    <mergeCell ref="C41:D41"/>
    <mergeCell ref="C3:D4"/>
    <mergeCell ref="C5:D5"/>
    <mergeCell ref="C22:D22"/>
    <mergeCell ref="F22:G22"/>
  </mergeCells>
  <pageMargins left="0.23622047244094491" right="0.23622047244094491" top="0.74803149606299213" bottom="0.74803149606299213" header="0.31496062992125984" footer="0.31496062992125984"/>
  <pageSetup paperSize="9" scale="73" orientation="landscape" horizontalDpi="4294967293" r:id="rId1"/>
  <headerFooter>
    <oddHeader>&amp;C&amp;"-,Vet"&amp;16REFERENTIESCORES - LVS TOETSEN + EINDTOETS GROEP 8</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5" x14ac:dyDescent="0.25"/>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66"/>
  <sheetViews>
    <sheetView showGridLines="0" showRowColHeaders="0" zoomScale="75" zoomScaleNormal="75" workbookViewId="0">
      <selection activeCell="X3" sqref="X3"/>
    </sheetView>
  </sheetViews>
  <sheetFormatPr defaultColWidth="9.1796875" defaultRowHeight="18" x14ac:dyDescent="0.5"/>
  <cols>
    <col min="1" max="1" width="6.26953125" style="59" bestFit="1" customWidth="1"/>
    <col min="2" max="2" width="30.7265625" style="60" customWidth="1"/>
    <col min="3" max="3" width="4" style="59" customWidth="1"/>
    <col min="4" max="20" width="8.7265625" style="59" customWidth="1"/>
    <col min="21" max="16384" width="9.1796875" style="59"/>
  </cols>
  <sheetData>
    <row r="1" spans="1:30" ht="18.5" thickBot="1" x14ac:dyDescent="0.55000000000000004"/>
    <row r="2" spans="1:30" s="58" customFormat="1" ht="32.5" thickBot="1" x14ac:dyDescent="0.85">
      <c r="A2" s="787" t="s">
        <v>61</v>
      </c>
      <c r="B2" s="788"/>
      <c r="D2" s="231"/>
      <c r="E2" s="234">
        <v>1</v>
      </c>
      <c r="F2" s="795" t="str">
        <f>VLOOKUP($E$2,BEGINBLAD!B5:C40,2)</f>
        <v>leerling 1</v>
      </c>
      <c r="G2" s="796"/>
      <c r="H2" s="796"/>
      <c r="I2" s="796"/>
      <c r="J2" s="796"/>
      <c r="K2" s="796"/>
      <c r="L2" s="796"/>
      <c r="M2" s="796"/>
      <c r="N2" s="796"/>
      <c r="O2" s="796"/>
      <c r="P2" s="796"/>
      <c r="Q2" s="796"/>
      <c r="R2" s="796"/>
      <c r="S2" s="796"/>
      <c r="T2" s="796"/>
      <c r="U2" s="796"/>
      <c r="V2" s="796"/>
      <c r="W2" s="796"/>
      <c r="X2" s="796"/>
      <c r="Y2" s="796"/>
      <c r="Z2" s="796"/>
      <c r="AA2" s="797"/>
      <c r="AB2" s="807" t="s">
        <v>331</v>
      </c>
      <c r="AC2" s="808"/>
      <c r="AD2" s="552">
        <f>VLOOKUP($E$2,BEGINBLAD!B5:D40,3)</f>
        <v>0</v>
      </c>
    </row>
    <row r="3" spans="1:30" ht="50.15" customHeight="1" x14ac:dyDescent="0.5"/>
    <row r="4" spans="1:30" ht="19.5" customHeight="1" x14ac:dyDescent="0.5">
      <c r="A4" s="182">
        <v>1</v>
      </c>
      <c r="B4" s="183" t="str">
        <f>BEGINBLAD!C5</f>
        <v>leerling 1</v>
      </c>
    </row>
    <row r="5" spans="1:30" x14ac:dyDescent="0.5">
      <c r="A5" s="182">
        <v>2</v>
      </c>
      <c r="B5" s="183" t="str">
        <f>BEGINBLAD!C6</f>
        <v>leerling 2</v>
      </c>
      <c r="D5" s="68"/>
      <c r="E5" s="68"/>
    </row>
    <row r="6" spans="1:30" x14ac:dyDescent="0.5">
      <c r="A6" s="182">
        <v>3</v>
      </c>
      <c r="B6" s="183" t="str">
        <f>BEGINBLAD!C7</f>
        <v>leerling 3</v>
      </c>
      <c r="D6" s="68"/>
      <c r="E6" s="68"/>
    </row>
    <row r="7" spans="1:30" x14ac:dyDescent="0.5">
      <c r="A7" s="182">
        <v>4</v>
      </c>
      <c r="B7" s="183" t="str">
        <f>BEGINBLAD!C8</f>
        <v>leerling 4</v>
      </c>
      <c r="E7" s="61"/>
      <c r="F7" s="61"/>
      <c r="G7" s="61"/>
      <c r="H7" s="61"/>
      <c r="I7" s="61"/>
      <c r="J7" s="61"/>
      <c r="K7" s="61"/>
      <c r="L7" s="61"/>
      <c r="M7" s="61"/>
      <c r="N7" s="61"/>
    </row>
    <row r="8" spans="1:30" x14ac:dyDescent="0.5">
      <c r="A8" s="182">
        <v>5</v>
      </c>
      <c r="B8" s="183" t="str">
        <f>BEGINBLAD!C9</f>
        <v>leerling 5</v>
      </c>
      <c r="E8" s="61"/>
      <c r="F8" s="61"/>
      <c r="G8" s="61"/>
      <c r="H8" s="61"/>
      <c r="I8" s="61"/>
      <c r="J8" s="61"/>
      <c r="K8" s="61"/>
      <c r="L8" s="61"/>
      <c r="M8" s="61"/>
      <c r="N8" s="61"/>
    </row>
    <row r="9" spans="1:30" x14ac:dyDescent="0.5">
      <c r="A9" s="182">
        <v>6</v>
      </c>
      <c r="B9" s="183" t="str">
        <f>BEGINBLAD!C10</f>
        <v>leerling 6</v>
      </c>
      <c r="E9" s="61"/>
      <c r="F9" s="61"/>
      <c r="G9" s="61"/>
      <c r="H9" s="61"/>
      <c r="I9" s="61"/>
      <c r="J9" s="61"/>
      <c r="K9" s="61"/>
      <c r="L9" s="61"/>
      <c r="M9" s="61"/>
      <c r="N9" s="61"/>
    </row>
    <row r="10" spans="1:30" x14ac:dyDescent="0.5">
      <c r="A10" s="182">
        <v>7</v>
      </c>
      <c r="B10" s="183" t="str">
        <f>BEGINBLAD!C11</f>
        <v>leerling 7</v>
      </c>
      <c r="E10" s="61"/>
      <c r="F10" s="61"/>
      <c r="G10" s="61"/>
      <c r="H10" s="61"/>
      <c r="I10" s="61"/>
      <c r="J10" s="61"/>
      <c r="K10" s="61"/>
      <c r="L10" s="61"/>
      <c r="M10" s="61"/>
      <c r="N10" s="61"/>
    </row>
    <row r="11" spans="1:30" x14ac:dyDescent="0.5">
      <c r="A11" s="182">
        <v>8</v>
      </c>
      <c r="B11" s="183" t="str">
        <f>BEGINBLAD!C12</f>
        <v>leerling 8</v>
      </c>
      <c r="E11" s="61"/>
      <c r="F11" s="61"/>
      <c r="G11" s="61"/>
      <c r="H11" s="61"/>
      <c r="I11" s="61"/>
      <c r="J11" s="61"/>
      <c r="K11" s="61"/>
      <c r="L11" s="61"/>
      <c r="M11" s="61"/>
      <c r="N11" s="61"/>
    </row>
    <row r="12" spans="1:30" x14ac:dyDescent="0.5">
      <c r="A12" s="182">
        <v>9</v>
      </c>
      <c r="B12" s="183" t="str">
        <f>BEGINBLAD!C13</f>
        <v>leerling 9</v>
      </c>
      <c r="E12" s="61"/>
      <c r="F12" s="61"/>
      <c r="G12" s="61"/>
      <c r="H12" s="219" t="s">
        <v>47</v>
      </c>
      <c r="I12" s="221" t="s">
        <v>106</v>
      </c>
      <c r="J12" s="219" t="s">
        <v>53</v>
      </c>
      <c r="K12" s="221" t="s">
        <v>106</v>
      </c>
      <c r="L12" s="219" t="s">
        <v>50</v>
      </c>
      <c r="M12" s="221" t="s">
        <v>106</v>
      </c>
      <c r="N12" s="219" t="s">
        <v>56</v>
      </c>
      <c r="O12" s="221" t="s">
        <v>106</v>
      </c>
      <c r="P12" s="219" t="s">
        <v>103</v>
      </c>
      <c r="Q12" s="221" t="s">
        <v>106</v>
      </c>
      <c r="R12" s="60" t="s">
        <v>107</v>
      </c>
      <c r="S12" s="60"/>
    </row>
    <row r="13" spans="1:30" x14ac:dyDescent="0.5">
      <c r="A13" s="182">
        <v>10</v>
      </c>
      <c r="B13" s="183" t="str">
        <f>BEGINBLAD!C14</f>
        <v>leerling 10</v>
      </c>
      <c r="E13" s="69"/>
      <c r="F13" s="69"/>
      <c r="G13" s="69"/>
      <c r="H13" s="214">
        <f>VLOOKUP($E$2,'NIVEAU WAARDE - vorig jaar'!$B$9:$H$44,3)</f>
        <v>1.1000000000000001</v>
      </c>
      <c r="I13" s="214">
        <v>5</v>
      </c>
      <c r="J13" s="214">
        <f>VLOOKUP($E$2,'NIVEAU WAARDE - vorig jaar'!$B$9:$H$44,4)</f>
        <v>2.9</v>
      </c>
      <c r="K13" s="214">
        <v>5</v>
      </c>
      <c r="L13" s="214">
        <f>VLOOKUP($E$2,'NIVEAU WAARDE - vorig jaar'!$B$9:$H$44,5)</f>
        <v>4.2</v>
      </c>
      <c r="M13" s="214">
        <v>5</v>
      </c>
      <c r="N13" s="214">
        <f>VLOOKUP($E$2,'NIVEAU WAARDE - vorig jaar'!$B$9:$H$44,6)</f>
        <v>1.3</v>
      </c>
      <c r="O13" s="214">
        <v>5</v>
      </c>
      <c r="P13" s="214">
        <f>VLOOKUP($E$2,'NIVEAU WAARDE - vorig jaar'!$B$9:$H$44,7)</f>
        <v>2.1</v>
      </c>
      <c r="Q13" s="215">
        <v>5</v>
      </c>
      <c r="R13" s="217">
        <f>T13/S13</f>
        <v>2.3199999999999998</v>
      </c>
      <c r="S13" s="217">
        <f>COUNTIF(H13:Q13,"&gt;0")-5</f>
        <v>5</v>
      </c>
      <c r="T13" s="218">
        <f>H13+J13+L13+N13+P13</f>
        <v>11.6</v>
      </c>
      <c r="U13" s="213"/>
    </row>
    <row r="14" spans="1:30" x14ac:dyDescent="0.5">
      <c r="A14" s="182">
        <v>11</v>
      </c>
      <c r="B14" s="183" t="str">
        <f>BEGINBLAD!C15</f>
        <v>leerling 11</v>
      </c>
      <c r="H14" s="60">
        <f>H13*2</f>
        <v>2.2000000000000002</v>
      </c>
      <c r="I14" s="60">
        <f t="shared" ref="I14:R14" si="0">I13*2</f>
        <v>10</v>
      </c>
      <c r="J14" s="60">
        <f t="shared" si="0"/>
        <v>5.8</v>
      </c>
      <c r="K14" s="60">
        <f t="shared" si="0"/>
        <v>10</v>
      </c>
      <c r="L14" s="60">
        <f t="shared" si="0"/>
        <v>8.4</v>
      </c>
      <c r="M14" s="60">
        <f t="shared" si="0"/>
        <v>10</v>
      </c>
      <c r="N14" s="60">
        <f t="shared" si="0"/>
        <v>2.6</v>
      </c>
      <c r="O14" s="60">
        <f t="shared" si="0"/>
        <v>10</v>
      </c>
      <c r="P14" s="60">
        <f t="shared" si="0"/>
        <v>4.2</v>
      </c>
      <c r="Q14" s="60">
        <f t="shared" si="0"/>
        <v>10</v>
      </c>
      <c r="R14" s="218">
        <f t="shared" si="0"/>
        <v>4.6399999999999997</v>
      </c>
      <c r="S14" s="60"/>
      <c r="T14" s="60"/>
    </row>
    <row r="15" spans="1:30" x14ac:dyDescent="0.5">
      <c r="A15" s="182">
        <v>12</v>
      </c>
      <c r="B15" s="183" t="str">
        <f>BEGINBLAD!C16</f>
        <v>leerling 12</v>
      </c>
    </row>
    <row r="16" spans="1:30" x14ac:dyDescent="0.5">
      <c r="A16" s="182">
        <v>13</v>
      </c>
      <c r="B16" s="183" t="str">
        <f>BEGINBLAD!C17</f>
        <v>leerling 13</v>
      </c>
      <c r="E16" s="61"/>
      <c r="F16" s="61"/>
      <c r="G16" s="61"/>
      <c r="H16" s="61"/>
      <c r="I16" s="61"/>
      <c r="J16" s="61"/>
      <c r="K16" s="61"/>
      <c r="L16" s="61"/>
      <c r="M16" s="61"/>
      <c r="N16" s="61"/>
    </row>
    <row r="17" spans="1:30" x14ac:dyDescent="0.5">
      <c r="A17" s="182">
        <v>14</v>
      </c>
      <c r="B17" s="183" t="str">
        <f>BEGINBLAD!C18</f>
        <v>leerling 14</v>
      </c>
      <c r="E17" s="61"/>
      <c r="F17" s="61"/>
      <c r="G17" s="61"/>
      <c r="H17" s="61"/>
      <c r="I17" s="61"/>
      <c r="J17" s="61"/>
      <c r="K17" s="61"/>
      <c r="L17" s="61"/>
      <c r="M17" s="61"/>
      <c r="N17" s="61"/>
    </row>
    <row r="18" spans="1:30" x14ac:dyDescent="0.5">
      <c r="A18" s="182">
        <v>15</v>
      </c>
      <c r="B18" s="183" t="str">
        <f>BEGINBLAD!C19</f>
        <v>leerling 15</v>
      </c>
      <c r="E18" s="62"/>
      <c r="F18" s="61"/>
      <c r="G18" s="61"/>
      <c r="H18" s="61"/>
      <c r="I18" s="61"/>
      <c r="J18" s="61"/>
      <c r="K18" s="61"/>
      <c r="L18" s="61"/>
      <c r="M18" s="61"/>
      <c r="N18" s="61"/>
    </row>
    <row r="19" spans="1:30" x14ac:dyDescent="0.5">
      <c r="A19" s="182">
        <v>16</v>
      </c>
      <c r="B19" s="183" t="str">
        <f>BEGINBLAD!C20</f>
        <v>leerling 16</v>
      </c>
      <c r="E19" s="63"/>
      <c r="F19" s="63"/>
      <c r="G19" s="63"/>
      <c r="H19" s="63"/>
      <c r="I19" s="63"/>
      <c r="J19" s="61"/>
      <c r="K19" s="63"/>
      <c r="L19" s="61"/>
      <c r="M19" s="61"/>
      <c r="N19" s="61"/>
    </row>
    <row r="20" spans="1:30" x14ac:dyDescent="0.5">
      <c r="A20" s="182">
        <v>17</v>
      </c>
      <c r="B20" s="183" t="str">
        <f>BEGINBLAD!C21</f>
        <v>leerling 17</v>
      </c>
      <c r="E20" s="64"/>
      <c r="F20" s="64"/>
      <c r="G20" s="65"/>
      <c r="H20" s="65"/>
      <c r="I20" s="64"/>
      <c r="J20" s="61"/>
      <c r="K20" s="65"/>
      <c r="L20" s="61"/>
      <c r="M20" s="61"/>
      <c r="N20" s="61"/>
    </row>
    <row r="21" spans="1:30" x14ac:dyDescent="0.5">
      <c r="A21" s="182">
        <v>18</v>
      </c>
      <c r="B21" s="183" t="str">
        <f>BEGINBLAD!C22</f>
        <v>leerling 18</v>
      </c>
      <c r="E21" s="61"/>
      <c r="F21" s="61"/>
      <c r="G21" s="61"/>
      <c r="H21" s="61"/>
      <c r="I21" s="61"/>
      <c r="J21" s="61"/>
      <c r="K21" s="61"/>
      <c r="L21" s="61"/>
      <c r="M21" s="61"/>
      <c r="N21" s="61"/>
    </row>
    <row r="22" spans="1:30" x14ac:dyDescent="0.5">
      <c r="A22" s="182">
        <v>19</v>
      </c>
      <c r="B22" s="183" t="str">
        <f>BEGINBLAD!C23</f>
        <v>leerling 19</v>
      </c>
      <c r="E22" s="61"/>
      <c r="F22" s="61"/>
      <c r="G22" s="61"/>
      <c r="H22" s="61"/>
      <c r="I22" s="61"/>
      <c r="J22" s="61"/>
      <c r="K22" s="61"/>
      <c r="L22" s="61"/>
      <c r="M22" s="61"/>
      <c r="N22" s="61"/>
    </row>
    <row r="23" spans="1:30" ht="15" customHeight="1" x14ac:dyDescent="0.5">
      <c r="A23" s="182">
        <v>20</v>
      </c>
      <c r="B23" s="183" t="str">
        <f>BEGINBLAD!C24</f>
        <v>leerling 20</v>
      </c>
    </row>
    <row r="24" spans="1:30" x14ac:dyDescent="0.5">
      <c r="A24" s="182">
        <v>21</v>
      </c>
      <c r="B24" s="183" t="str">
        <f>BEGINBLAD!C25</f>
        <v>leerling 21</v>
      </c>
    </row>
    <row r="25" spans="1:30" x14ac:dyDescent="0.5">
      <c r="A25" s="182">
        <v>22</v>
      </c>
      <c r="B25" s="183" t="str">
        <f>BEGINBLAD!C26</f>
        <v>leerling 22</v>
      </c>
    </row>
    <row r="26" spans="1:30" x14ac:dyDescent="0.5">
      <c r="A26" s="182">
        <v>23</v>
      </c>
      <c r="B26" s="183" t="str">
        <f>BEGINBLAD!C27</f>
        <v>leerling 23</v>
      </c>
    </row>
    <row r="27" spans="1:30" x14ac:dyDescent="0.5">
      <c r="A27" s="182">
        <v>24</v>
      </c>
      <c r="B27" s="183" t="str">
        <f>BEGINBLAD!C28</f>
        <v>leerling 24</v>
      </c>
    </row>
    <row r="28" spans="1:30" ht="15.75" customHeight="1" x14ac:dyDescent="0.5">
      <c r="A28" s="182">
        <v>25</v>
      </c>
      <c r="B28" s="183" t="str">
        <f>BEGINBLAD!C29</f>
        <v>leerling 25</v>
      </c>
    </row>
    <row r="29" spans="1:30" x14ac:dyDescent="0.5">
      <c r="A29" s="182">
        <v>26</v>
      </c>
      <c r="B29" s="183" t="str">
        <f>BEGINBLAD!C30</f>
        <v>leerling 26</v>
      </c>
    </row>
    <row r="30" spans="1:30" ht="18.5" thickBot="1" x14ac:dyDescent="0.55000000000000004">
      <c r="A30" s="182">
        <v>27</v>
      </c>
      <c r="B30" s="183">
        <f>BEGINBLAD!C31</f>
        <v>0</v>
      </c>
    </row>
    <row r="31" spans="1:30" x14ac:dyDescent="0.5">
      <c r="A31" s="182">
        <v>28</v>
      </c>
      <c r="B31" s="183">
        <f>BEGINBLAD!C32</f>
        <v>0</v>
      </c>
      <c r="E31" s="789" t="s">
        <v>112</v>
      </c>
      <c r="F31" s="790"/>
      <c r="G31" s="798" t="s">
        <v>108</v>
      </c>
      <c r="H31" s="799"/>
      <c r="I31" s="799"/>
      <c r="J31" s="799"/>
      <c r="K31" s="799"/>
      <c r="L31" s="799"/>
      <c r="M31" s="799"/>
      <c r="N31" s="799"/>
      <c r="O31" s="799"/>
      <c r="P31" s="799"/>
      <c r="Q31" s="799"/>
      <c r="R31" s="799"/>
      <c r="S31" s="799"/>
      <c r="T31" s="799"/>
      <c r="U31" s="799"/>
      <c r="V31" s="799"/>
      <c r="W31" s="799"/>
      <c r="X31" s="799"/>
      <c r="Y31" s="799"/>
      <c r="Z31" s="799"/>
      <c r="AA31" s="799"/>
      <c r="AB31" s="799"/>
      <c r="AC31" s="799"/>
      <c r="AD31" s="800"/>
    </row>
    <row r="32" spans="1:30" x14ac:dyDescent="0.5">
      <c r="A32" s="182">
        <v>29</v>
      </c>
      <c r="B32" s="183">
        <f>BEGINBLAD!C33</f>
        <v>0</v>
      </c>
      <c r="E32" s="791"/>
      <c r="F32" s="792"/>
      <c r="G32" s="801"/>
      <c r="H32" s="802"/>
      <c r="I32" s="802"/>
      <c r="J32" s="802"/>
      <c r="K32" s="802"/>
      <c r="L32" s="802"/>
      <c r="M32" s="802"/>
      <c r="N32" s="802"/>
      <c r="O32" s="802"/>
      <c r="P32" s="802"/>
      <c r="Q32" s="802"/>
      <c r="R32" s="802"/>
      <c r="S32" s="802"/>
      <c r="T32" s="802"/>
      <c r="U32" s="802"/>
      <c r="V32" s="802"/>
      <c r="W32" s="802"/>
      <c r="X32" s="802"/>
      <c r="Y32" s="802"/>
      <c r="Z32" s="802"/>
      <c r="AA32" s="802"/>
      <c r="AB32" s="802"/>
      <c r="AC32" s="802"/>
      <c r="AD32" s="803"/>
    </row>
    <row r="33" spans="1:30" x14ac:dyDescent="0.5">
      <c r="A33" s="182">
        <v>30</v>
      </c>
      <c r="B33" s="183">
        <f>BEGINBLAD!C34</f>
        <v>0</v>
      </c>
      <c r="E33" s="791"/>
      <c r="F33" s="792"/>
      <c r="G33" s="801"/>
      <c r="H33" s="802"/>
      <c r="I33" s="802"/>
      <c r="J33" s="802"/>
      <c r="K33" s="802"/>
      <c r="L33" s="802"/>
      <c r="M33" s="802"/>
      <c r="N33" s="802"/>
      <c r="O33" s="802"/>
      <c r="P33" s="802"/>
      <c r="Q33" s="802"/>
      <c r="R33" s="802"/>
      <c r="S33" s="802"/>
      <c r="T33" s="802"/>
      <c r="U33" s="802"/>
      <c r="V33" s="802"/>
      <c r="W33" s="802"/>
      <c r="X33" s="802"/>
      <c r="Y33" s="802"/>
      <c r="Z33" s="802"/>
      <c r="AA33" s="802"/>
      <c r="AB33" s="802"/>
      <c r="AC33" s="802"/>
      <c r="AD33" s="803"/>
    </row>
    <row r="34" spans="1:30" x14ac:dyDescent="0.5">
      <c r="A34" s="182">
        <v>31</v>
      </c>
      <c r="B34" s="183">
        <f>BEGINBLAD!C35</f>
        <v>0</v>
      </c>
      <c r="E34" s="791"/>
      <c r="F34" s="792"/>
      <c r="G34" s="801"/>
      <c r="H34" s="802"/>
      <c r="I34" s="802"/>
      <c r="J34" s="802"/>
      <c r="K34" s="802"/>
      <c r="L34" s="802"/>
      <c r="M34" s="802"/>
      <c r="N34" s="802"/>
      <c r="O34" s="802"/>
      <c r="P34" s="802"/>
      <c r="Q34" s="802"/>
      <c r="R34" s="802"/>
      <c r="S34" s="802"/>
      <c r="T34" s="802"/>
      <c r="U34" s="802"/>
      <c r="V34" s="802"/>
      <c r="W34" s="802"/>
      <c r="X34" s="802"/>
      <c r="Y34" s="802"/>
      <c r="Z34" s="802"/>
      <c r="AA34" s="802"/>
      <c r="AB34" s="802"/>
      <c r="AC34" s="802"/>
      <c r="AD34" s="803"/>
    </row>
    <row r="35" spans="1:30" ht="19.5" customHeight="1" x14ac:dyDescent="0.5">
      <c r="A35" s="182">
        <v>32</v>
      </c>
      <c r="B35" s="183">
        <f>BEGINBLAD!C36</f>
        <v>0</v>
      </c>
      <c r="E35" s="791"/>
      <c r="F35" s="792"/>
      <c r="G35" s="801"/>
      <c r="H35" s="802"/>
      <c r="I35" s="802"/>
      <c r="J35" s="802"/>
      <c r="K35" s="802"/>
      <c r="L35" s="802"/>
      <c r="M35" s="802"/>
      <c r="N35" s="802"/>
      <c r="O35" s="802"/>
      <c r="P35" s="802"/>
      <c r="Q35" s="802"/>
      <c r="R35" s="802"/>
      <c r="S35" s="802"/>
      <c r="T35" s="802"/>
      <c r="U35" s="802"/>
      <c r="V35" s="802"/>
      <c r="W35" s="802"/>
      <c r="X35" s="802"/>
      <c r="Y35" s="802"/>
      <c r="Z35" s="802"/>
      <c r="AA35" s="802"/>
      <c r="AB35" s="802"/>
      <c r="AC35" s="802"/>
      <c r="AD35" s="803"/>
    </row>
    <row r="36" spans="1:30" ht="19.5" customHeight="1" thickBot="1" x14ac:dyDescent="0.55000000000000004">
      <c r="A36" s="182">
        <v>33</v>
      </c>
      <c r="B36" s="183">
        <f>BEGINBLAD!C37</f>
        <v>0</v>
      </c>
      <c r="E36" s="793"/>
      <c r="F36" s="794"/>
      <c r="G36" s="804"/>
      <c r="H36" s="805"/>
      <c r="I36" s="805"/>
      <c r="J36" s="805"/>
      <c r="K36" s="805"/>
      <c r="L36" s="805"/>
      <c r="M36" s="805"/>
      <c r="N36" s="805"/>
      <c r="O36" s="805"/>
      <c r="P36" s="805"/>
      <c r="Q36" s="805"/>
      <c r="R36" s="805"/>
      <c r="S36" s="805"/>
      <c r="T36" s="805"/>
      <c r="U36" s="805"/>
      <c r="V36" s="805"/>
      <c r="W36" s="805"/>
      <c r="X36" s="805"/>
      <c r="Y36" s="805"/>
      <c r="Z36" s="805"/>
      <c r="AA36" s="805"/>
      <c r="AB36" s="805"/>
      <c r="AC36" s="805"/>
      <c r="AD36" s="806"/>
    </row>
    <row r="37" spans="1:30" ht="19.5" customHeight="1" thickBot="1" x14ac:dyDescent="0.9">
      <c r="A37" s="182">
        <v>34</v>
      </c>
      <c r="B37" s="183">
        <f>BEGINBLAD!C38</f>
        <v>0</v>
      </c>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row>
    <row r="38" spans="1:30" ht="19.5" customHeight="1" x14ac:dyDescent="0.5">
      <c r="A38" s="182">
        <v>35</v>
      </c>
      <c r="B38" s="183">
        <f>BEGINBLAD!C39</f>
        <v>0</v>
      </c>
      <c r="E38" s="789" t="s">
        <v>111</v>
      </c>
      <c r="F38" s="790"/>
      <c r="G38" s="798" t="s">
        <v>109</v>
      </c>
      <c r="H38" s="799"/>
      <c r="I38" s="799"/>
      <c r="J38" s="799"/>
      <c r="K38" s="799"/>
      <c r="L38" s="799"/>
      <c r="M38" s="799"/>
      <c r="N38" s="799"/>
      <c r="O38" s="799"/>
      <c r="P38" s="799"/>
      <c r="Q38" s="799"/>
      <c r="R38" s="799"/>
      <c r="S38" s="799"/>
      <c r="T38" s="799"/>
      <c r="U38" s="799"/>
      <c r="V38" s="799"/>
      <c r="W38" s="799"/>
      <c r="X38" s="799"/>
      <c r="Y38" s="799"/>
      <c r="Z38" s="799"/>
      <c r="AA38" s="799"/>
      <c r="AB38" s="799"/>
      <c r="AC38" s="799"/>
      <c r="AD38" s="800"/>
    </row>
    <row r="39" spans="1:30" ht="19.5" customHeight="1" x14ac:dyDescent="0.5">
      <c r="A39" s="182">
        <v>36</v>
      </c>
      <c r="B39" s="183">
        <f>BEGINBLAD!C40</f>
        <v>0</v>
      </c>
      <c r="E39" s="791"/>
      <c r="F39" s="792"/>
      <c r="G39" s="801"/>
      <c r="H39" s="802"/>
      <c r="I39" s="802"/>
      <c r="J39" s="802"/>
      <c r="K39" s="802"/>
      <c r="L39" s="802"/>
      <c r="M39" s="802"/>
      <c r="N39" s="802"/>
      <c r="O39" s="802"/>
      <c r="P39" s="802"/>
      <c r="Q39" s="802"/>
      <c r="R39" s="802"/>
      <c r="S39" s="802"/>
      <c r="T39" s="802"/>
      <c r="U39" s="802"/>
      <c r="V39" s="802"/>
      <c r="W39" s="802"/>
      <c r="X39" s="802"/>
      <c r="Y39" s="802"/>
      <c r="Z39" s="802"/>
      <c r="AA39" s="802"/>
      <c r="AB39" s="802"/>
      <c r="AC39" s="802"/>
      <c r="AD39" s="803"/>
    </row>
    <row r="40" spans="1:30" ht="19.5" customHeight="1" x14ac:dyDescent="0.5">
      <c r="E40" s="791"/>
      <c r="F40" s="792"/>
      <c r="G40" s="801"/>
      <c r="H40" s="802"/>
      <c r="I40" s="802"/>
      <c r="J40" s="802"/>
      <c r="K40" s="802"/>
      <c r="L40" s="802"/>
      <c r="M40" s="802"/>
      <c r="N40" s="802"/>
      <c r="O40" s="802"/>
      <c r="P40" s="802"/>
      <c r="Q40" s="802"/>
      <c r="R40" s="802"/>
      <c r="S40" s="802"/>
      <c r="T40" s="802"/>
      <c r="U40" s="802"/>
      <c r="V40" s="802"/>
      <c r="W40" s="802"/>
      <c r="X40" s="802"/>
      <c r="Y40" s="802"/>
      <c r="Z40" s="802"/>
      <c r="AA40" s="802"/>
      <c r="AB40" s="802"/>
      <c r="AC40" s="802"/>
      <c r="AD40" s="803"/>
    </row>
    <row r="41" spans="1:30" ht="19.5" customHeight="1" x14ac:dyDescent="0.5">
      <c r="A41" s="66"/>
      <c r="B41" s="67"/>
      <c r="E41" s="791"/>
      <c r="F41" s="792"/>
      <c r="G41" s="801"/>
      <c r="H41" s="802"/>
      <c r="I41" s="802"/>
      <c r="J41" s="802"/>
      <c r="K41" s="802"/>
      <c r="L41" s="802"/>
      <c r="M41" s="802"/>
      <c r="N41" s="802"/>
      <c r="O41" s="802"/>
      <c r="P41" s="802"/>
      <c r="Q41" s="802"/>
      <c r="R41" s="802"/>
      <c r="S41" s="802"/>
      <c r="T41" s="802"/>
      <c r="U41" s="802"/>
      <c r="V41" s="802"/>
      <c r="W41" s="802"/>
      <c r="X41" s="802"/>
      <c r="Y41" s="802"/>
      <c r="Z41" s="802"/>
      <c r="AA41" s="802"/>
      <c r="AB41" s="802"/>
      <c r="AC41" s="802"/>
      <c r="AD41" s="803"/>
    </row>
    <row r="42" spans="1:30" ht="19.5" customHeight="1" x14ac:dyDescent="0.5">
      <c r="A42" s="66"/>
      <c r="B42" s="67"/>
      <c r="E42" s="791"/>
      <c r="F42" s="792"/>
      <c r="G42" s="801"/>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row>
    <row r="43" spans="1:30" ht="19.5" customHeight="1" thickBot="1" x14ac:dyDescent="0.55000000000000004">
      <c r="E43" s="793"/>
      <c r="F43" s="794"/>
      <c r="G43" s="804"/>
      <c r="H43" s="805"/>
      <c r="I43" s="805"/>
      <c r="J43" s="805"/>
      <c r="K43" s="805"/>
      <c r="L43" s="805"/>
      <c r="M43" s="805"/>
      <c r="N43" s="805"/>
      <c r="O43" s="805"/>
      <c r="P43" s="805"/>
      <c r="Q43" s="805"/>
      <c r="R43" s="805"/>
      <c r="S43" s="805"/>
      <c r="T43" s="805"/>
      <c r="U43" s="805"/>
      <c r="V43" s="805"/>
      <c r="W43" s="805"/>
      <c r="X43" s="805"/>
      <c r="Y43" s="805"/>
      <c r="Z43" s="805"/>
      <c r="AA43" s="805"/>
      <c r="AB43" s="805"/>
      <c r="AC43" s="805"/>
      <c r="AD43" s="806"/>
    </row>
    <row r="44" spans="1:30" ht="19.5" customHeight="1" thickBot="1" x14ac:dyDescent="0.9">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row>
    <row r="45" spans="1:30" ht="19.5" customHeight="1" x14ac:dyDescent="0.5">
      <c r="E45" s="789" t="s">
        <v>110</v>
      </c>
      <c r="F45" s="790"/>
      <c r="G45" s="798" t="s">
        <v>115</v>
      </c>
      <c r="H45" s="799"/>
      <c r="I45" s="799"/>
      <c r="J45" s="799"/>
      <c r="K45" s="799"/>
      <c r="L45" s="799"/>
      <c r="M45" s="799"/>
      <c r="N45" s="799"/>
      <c r="O45" s="799"/>
      <c r="P45" s="799"/>
      <c r="Q45" s="799"/>
      <c r="R45" s="799"/>
      <c r="S45" s="799"/>
      <c r="T45" s="799"/>
      <c r="U45" s="799"/>
      <c r="V45" s="799"/>
      <c r="W45" s="799"/>
      <c r="X45" s="799"/>
      <c r="Y45" s="799"/>
      <c r="Z45" s="799"/>
      <c r="AA45" s="799"/>
      <c r="AB45" s="799"/>
      <c r="AC45" s="799"/>
      <c r="AD45" s="800"/>
    </row>
    <row r="46" spans="1:30" ht="19.5" customHeight="1" x14ac:dyDescent="0.5">
      <c r="E46" s="791"/>
      <c r="F46" s="792"/>
      <c r="G46" s="801"/>
      <c r="H46" s="802"/>
      <c r="I46" s="802"/>
      <c r="J46" s="802"/>
      <c r="K46" s="802"/>
      <c r="L46" s="802"/>
      <c r="M46" s="802"/>
      <c r="N46" s="802"/>
      <c r="O46" s="802"/>
      <c r="P46" s="802"/>
      <c r="Q46" s="802"/>
      <c r="R46" s="802"/>
      <c r="S46" s="802"/>
      <c r="T46" s="802"/>
      <c r="U46" s="802"/>
      <c r="V46" s="802"/>
      <c r="W46" s="802"/>
      <c r="X46" s="802"/>
      <c r="Y46" s="802"/>
      <c r="Z46" s="802"/>
      <c r="AA46" s="802"/>
      <c r="AB46" s="802"/>
      <c r="AC46" s="802"/>
      <c r="AD46" s="803"/>
    </row>
    <row r="47" spans="1:30" ht="19.5" customHeight="1" x14ac:dyDescent="0.5">
      <c r="E47" s="791"/>
      <c r="F47" s="792"/>
      <c r="G47" s="801"/>
      <c r="H47" s="802"/>
      <c r="I47" s="802"/>
      <c r="J47" s="802"/>
      <c r="K47" s="802"/>
      <c r="L47" s="802"/>
      <c r="M47" s="802"/>
      <c r="N47" s="802"/>
      <c r="O47" s="802"/>
      <c r="P47" s="802"/>
      <c r="Q47" s="802"/>
      <c r="R47" s="802"/>
      <c r="S47" s="802"/>
      <c r="T47" s="802"/>
      <c r="U47" s="802"/>
      <c r="V47" s="802"/>
      <c r="W47" s="802"/>
      <c r="X47" s="802"/>
      <c r="Y47" s="802"/>
      <c r="Z47" s="802"/>
      <c r="AA47" s="802"/>
      <c r="AB47" s="802"/>
      <c r="AC47" s="802"/>
      <c r="AD47" s="803"/>
    </row>
    <row r="48" spans="1:30" ht="19.5" customHeight="1" x14ac:dyDescent="0.5">
      <c r="E48" s="791"/>
      <c r="F48" s="792"/>
      <c r="G48" s="801"/>
      <c r="H48" s="802"/>
      <c r="I48" s="802"/>
      <c r="J48" s="802"/>
      <c r="K48" s="802"/>
      <c r="L48" s="802"/>
      <c r="M48" s="802"/>
      <c r="N48" s="802"/>
      <c r="O48" s="802"/>
      <c r="P48" s="802"/>
      <c r="Q48" s="802"/>
      <c r="R48" s="802"/>
      <c r="S48" s="802"/>
      <c r="T48" s="802"/>
      <c r="U48" s="802"/>
      <c r="V48" s="802"/>
      <c r="W48" s="802"/>
      <c r="X48" s="802"/>
      <c r="Y48" s="802"/>
      <c r="Z48" s="802"/>
      <c r="AA48" s="802"/>
      <c r="AB48" s="802"/>
      <c r="AC48" s="802"/>
      <c r="AD48" s="803"/>
    </row>
    <row r="49" spans="5:30" ht="19.5" customHeight="1" x14ac:dyDescent="0.5">
      <c r="E49" s="791"/>
      <c r="F49" s="792"/>
      <c r="G49" s="801"/>
      <c r="H49" s="802"/>
      <c r="I49" s="802"/>
      <c r="J49" s="802"/>
      <c r="K49" s="802"/>
      <c r="L49" s="802"/>
      <c r="M49" s="802"/>
      <c r="N49" s="802"/>
      <c r="O49" s="802"/>
      <c r="P49" s="802"/>
      <c r="Q49" s="802"/>
      <c r="R49" s="802"/>
      <c r="S49" s="802"/>
      <c r="T49" s="802"/>
      <c r="U49" s="802"/>
      <c r="V49" s="802"/>
      <c r="W49" s="802"/>
      <c r="X49" s="802"/>
      <c r="Y49" s="802"/>
      <c r="Z49" s="802"/>
      <c r="AA49" s="802"/>
      <c r="AB49" s="802"/>
      <c r="AC49" s="802"/>
      <c r="AD49" s="803"/>
    </row>
    <row r="50" spans="5:30" ht="19.5" customHeight="1" thickBot="1" x14ac:dyDescent="0.55000000000000004">
      <c r="E50" s="793"/>
      <c r="F50" s="794"/>
      <c r="G50" s="804"/>
      <c r="H50" s="805"/>
      <c r="I50" s="805"/>
      <c r="J50" s="805"/>
      <c r="K50" s="805"/>
      <c r="L50" s="805"/>
      <c r="M50" s="805"/>
      <c r="N50" s="805"/>
      <c r="O50" s="805"/>
      <c r="P50" s="805"/>
      <c r="Q50" s="805"/>
      <c r="R50" s="805"/>
      <c r="S50" s="805"/>
      <c r="T50" s="805"/>
      <c r="U50" s="805"/>
      <c r="V50" s="805"/>
      <c r="W50" s="805"/>
      <c r="X50" s="805"/>
      <c r="Y50" s="805"/>
      <c r="Z50" s="805"/>
      <c r="AA50" s="805"/>
      <c r="AB50" s="805"/>
      <c r="AC50" s="805"/>
      <c r="AD50" s="806"/>
    </row>
    <row r="51" spans="5:30" ht="19.5" customHeight="1" thickBot="1" x14ac:dyDescent="0.9">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row>
    <row r="52" spans="5:30" ht="19.5" customHeight="1" x14ac:dyDescent="0.5">
      <c r="E52" s="789" t="s">
        <v>113</v>
      </c>
      <c r="F52" s="790"/>
      <c r="G52" s="798" t="s">
        <v>116</v>
      </c>
      <c r="H52" s="799"/>
      <c r="I52" s="799"/>
      <c r="J52" s="799"/>
      <c r="K52" s="799"/>
      <c r="L52" s="799"/>
      <c r="M52" s="799"/>
      <c r="N52" s="799"/>
      <c r="O52" s="799"/>
      <c r="P52" s="799"/>
      <c r="Q52" s="799"/>
      <c r="R52" s="799"/>
      <c r="S52" s="799"/>
      <c r="T52" s="799"/>
      <c r="U52" s="799"/>
      <c r="V52" s="799"/>
      <c r="W52" s="799"/>
      <c r="X52" s="799"/>
      <c r="Y52" s="799"/>
      <c r="Z52" s="799"/>
      <c r="AA52" s="799"/>
      <c r="AB52" s="799"/>
      <c r="AC52" s="799"/>
      <c r="AD52" s="800"/>
    </row>
    <row r="53" spans="5:30" ht="19.5" customHeight="1" x14ac:dyDescent="0.5">
      <c r="E53" s="791"/>
      <c r="F53" s="792"/>
      <c r="G53" s="801"/>
      <c r="H53" s="802"/>
      <c r="I53" s="802"/>
      <c r="J53" s="802"/>
      <c r="K53" s="802"/>
      <c r="L53" s="802"/>
      <c r="M53" s="802"/>
      <c r="N53" s="802"/>
      <c r="O53" s="802"/>
      <c r="P53" s="802"/>
      <c r="Q53" s="802"/>
      <c r="R53" s="802"/>
      <c r="S53" s="802"/>
      <c r="T53" s="802"/>
      <c r="U53" s="802"/>
      <c r="V53" s="802"/>
      <c r="W53" s="802"/>
      <c r="X53" s="802"/>
      <c r="Y53" s="802"/>
      <c r="Z53" s="802"/>
      <c r="AA53" s="802"/>
      <c r="AB53" s="802"/>
      <c r="AC53" s="802"/>
      <c r="AD53" s="803"/>
    </row>
    <row r="54" spans="5:30" ht="19.5" customHeight="1" x14ac:dyDescent="0.5">
      <c r="E54" s="791"/>
      <c r="F54" s="792"/>
      <c r="G54" s="801"/>
      <c r="H54" s="802"/>
      <c r="I54" s="802"/>
      <c r="J54" s="802"/>
      <c r="K54" s="802"/>
      <c r="L54" s="802"/>
      <c r="M54" s="802"/>
      <c r="N54" s="802"/>
      <c r="O54" s="802"/>
      <c r="P54" s="802"/>
      <c r="Q54" s="802"/>
      <c r="R54" s="802"/>
      <c r="S54" s="802"/>
      <c r="T54" s="802"/>
      <c r="U54" s="802"/>
      <c r="V54" s="802"/>
      <c r="W54" s="802"/>
      <c r="X54" s="802"/>
      <c r="Y54" s="802"/>
      <c r="Z54" s="802"/>
      <c r="AA54" s="802"/>
      <c r="AB54" s="802"/>
      <c r="AC54" s="802"/>
      <c r="AD54" s="803"/>
    </row>
    <row r="55" spans="5:30" ht="19.5" customHeight="1" x14ac:dyDescent="0.5">
      <c r="E55" s="791"/>
      <c r="F55" s="792"/>
      <c r="G55" s="801"/>
      <c r="H55" s="802"/>
      <c r="I55" s="802"/>
      <c r="J55" s="802"/>
      <c r="K55" s="802"/>
      <c r="L55" s="802"/>
      <c r="M55" s="802"/>
      <c r="N55" s="802"/>
      <c r="O55" s="802"/>
      <c r="P55" s="802"/>
      <c r="Q55" s="802"/>
      <c r="R55" s="802"/>
      <c r="S55" s="802"/>
      <c r="T55" s="802"/>
      <c r="U55" s="802"/>
      <c r="V55" s="802"/>
      <c r="W55" s="802"/>
      <c r="X55" s="802"/>
      <c r="Y55" s="802"/>
      <c r="Z55" s="802"/>
      <c r="AA55" s="802"/>
      <c r="AB55" s="802"/>
      <c r="AC55" s="802"/>
      <c r="AD55" s="803"/>
    </row>
    <row r="56" spans="5:30" ht="19.5" customHeight="1" x14ac:dyDescent="0.5">
      <c r="E56" s="791"/>
      <c r="F56" s="792"/>
      <c r="G56" s="801"/>
      <c r="H56" s="802"/>
      <c r="I56" s="802"/>
      <c r="J56" s="802"/>
      <c r="K56" s="802"/>
      <c r="L56" s="802"/>
      <c r="M56" s="802"/>
      <c r="N56" s="802"/>
      <c r="O56" s="802"/>
      <c r="P56" s="802"/>
      <c r="Q56" s="802"/>
      <c r="R56" s="802"/>
      <c r="S56" s="802"/>
      <c r="T56" s="802"/>
      <c r="U56" s="802"/>
      <c r="V56" s="802"/>
      <c r="W56" s="802"/>
      <c r="X56" s="802"/>
      <c r="Y56" s="802"/>
      <c r="Z56" s="802"/>
      <c r="AA56" s="802"/>
      <c r="AB56" s="802"/>
      <c r="AC56" s="802"/>
      <c r="AD56" s="803"/>
    </row>
    <row r="57" spans="5:30" ht="19.5" customHeight="1" thickBot="1" x14ac:dyDescent="0.55000000000000004">
      <c r="E57" s="793"/>
      <c r="F57" s="794"/>
      <c r="G57" s="804"/>
      <c r="H57" s="805"/>
      <c r="I57" s="805"/>
      <c r="J57" s="805"/>
      <c r="K57" s="805"/>
      <c r="L57" s="805"/>
      <c r="M57" s="805"/>
      <c r="N57" s="805"/>
      <c r="O57" s="805"/>
      <c r="P57" s="805"/>
      <c r="Q57" s="805"/>
      <c r="R57" s="805"/>
      <c r="S57" s="805"/>
      <c r="T57" s="805"/>
      <c r="U57" s="805"/>
      <c r="V57" s="805"/>
      <c r="W57" s="805"/>
      <c r="X57" s="805"/>
      <c r="Y57" s="805"/>
      <c r="Z57" s="805"/>
      <c r="AA57" s="805"/>
      <c r="AB57" s="805"/>
      <c r="AC57" s="805"/>
      <c r="AD57" s="806"/>
    </row>
    <row r="58" spans="5:30" ht="19.5" customHeight="1" thickBot="1" x14ac:dyDescent="0.9">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row>
    <row r="59" spans="5:30" ht="19.5" customHeight="1" x14ac:dyDescent="0.5">
      <c r="E59" s="789" t="s">
        <v>114</v>
      </c>
      <c r="F59" s="790"/>
      <c r="G59" s="809" t="s">
        <v>125</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800"/>
    </row>
    <row r="60" spans="5:30" ht="19.5" customHeight="1" x14ac:dyDescent="0.5">
      <c r="E60" s="791"/>
      <c r="F60" s="792"/>
      <c r="G60" s="801"/>
      <c r="H60" s="802"/>
      <c r="I60" s="802"/>
      <c r="J60" s="802"/>
      <c r="K60" s="802"/>
      <c r="L60" s="802"/>
      <c r="M60" s="802"/>
      <c r="N60" s="802"/>
      <c r="O60" s="802"/>
      <c r="P60" s="802"/>
      <c r="Q60" s="802"/>
      <c r="R60" s="802"/>
      <c r="S60" s="802"/>
      <c r="T60" s="802"/>
      <c r="U60" s="802"/>
      <c r="V60" s="802"/>
      <c r="W60" s="802"/>
      <c r="X60" s="802"/>
      <c r="Y60" s="802"/>
      <c r="Z60" s="802"/>
      <c r="AA60" s="802"/>
      <c r="AB60" s="802"/>
      <c r="AC60" s="802"/>
      <c r="AD60" s="803"/>
    </row>
    <row r="61" spans="5:30" ht="19.5" customHeight="1" x14ac:dyDescent="0.5">
      <c r="E61" s="791"/>
      <c r="F61" s="792"/>
      <c r="G61" s="801"/>
      <c r="H61" s="802"/>
      <c r="I61" s="802"/>
      <c r="J61" s="802"/>
      <c r="K61" s="802"/>
      <c r="L61" s="802"/>
      <c r="M61" s="802"/>
      <c r="N61" s="802"/>
      <c r="O61" s="802"/>
      <c r="P61" s="802"/>
      <c r="Q61" s="802"/>
      <c r="R61" s="802"/>
      <c r="S61" s="802"/>
      <c r="T61" s="802"/>
      <c r="U61" s="802"/>
      <c r="V61" s="802"/>
      <c r="W61" s="802"/>
      <c r="X61" s="802"/>
      <c r="Y61" s="802"/>
      <c r="Z61" s="802"/>
      <c r="AA61" s="802"/>
      <c r="AB61" s="802"/>
      <c r="AC61" s="802"/>
      <c r="AD61" s="803"/>
    </row>
    <row r="62" spans="5:30" ht="19.5" customHeight="1" x14ac:dyDescent="0.5">
      <c r="E62" s="791"/>
      <c r="F62" s="792"/>
      <c r="G62" s="801"/>
      <c r="H62" s="802"/>
      <c r="I62" s="802"/>
      <c r="J62" s="802"/>
      <c r="K62" s="802"/>
      <c r="L62" s="802"/>
      <c r="M62" s="802"/>
      <c r="N62" s="802"/>
      <c r="O62" s="802"/>
      <c r="P62" s="802"/>
      <c r="Q62" s="802"/>
      <c r="R62" s="802"/>
      <c r="S62" s="802"/>
      <c r="T62" s="802"/>
      <c r="U62" s="802"/>
      <c r="V62" s="802"/>
      <c r="W62" s="802"/>
      <c r="X62" s="802"/>
      <c r="Y62" s="802"/>
      <c r="Z62" s="802"/>
      <c r="AA62" s="802"/>
      <c r="AB62" s="802"/>
      <c r="AC62" s="802"/>
      <c r="AD62" s="803"/>
    </row>
    <row r="63" spans="5:30" ht="19.5" customHeight="1" x14ac:dyDescent="0.5">
      <c r="E63" s="791"/>
      <c r="F63" s="792"/>
      <c r="G63" s="801"/>
      <c r="H63" s="802"/>
      <c r="I63" s="802"/>
      <c r="J63" s="802"/>
      <c r="K63" s="802"/>
      <c r="L63" s="802"/>
      <c r="M63" s="802"/>
      <c r="N63" s="802"/>
      <c r="O63" s="802"/>
      <c r="P63" s="802"/>
      <c r="Q63" s="802"/>
      <c r="R63" s="802"/>
      <c r="S63" s="802"/>
      <c r="T63" s="802"/>
      <c r="U63" s="802"/>
      <c r="V63" s="802"/>
      <c r="W63" s="802"/>
      <c r="X63" s="802"/>
      <c r="Y63" s="802"/>
      <c r="Z63" s="802"/>
      <c r="AA63" s="802"/>
      <c r="AB63" s="802"/>
      <c r="AC63" s="802"/>
      <c r="AD63" s="803"/>
    </row>
    <row r="64" spans="5:30" ht="19.5" customHeight="1" x14ac:dyDescent="0.5">
      <c r="E64" s="791"/>
      <c r="F64" s="792"/>
      <c r="G64" s="801"/>
      <c r="H64" s="802"/>
      <c r="I64" s="802"/>
      <c r="J64" s="802"/>
      <c r="K64" s="802"/>
      <c r="L64" s="802"/>
      <c r="M64" s="802"/>
      <c r="N64" s="802"/>
      <c r="O64" s="802"/>
      <c r="P64" s="802"/>
      <c r="Q64" s="802"/>
      <c r="R64" s="802"/>
      <c r="S64" s="802"/>
      <c r="T64" s="802"/>
      <c r="U64" s="802"/>
      <c r="V64" s="802"/>
      <c r="W64" s="802"/>
      <c r="X64" s="802"/>
      <c r="Y64" s="802"/>
      <c r="Z64" s="802"/>
      <c r="AA64" s="802"/>
      <c r="AB64" s="802"/>
      <c r="AC64" s="802"/>
      <c r="AD64" s="803"/>
    </row>
    <row r="65" spans="5:30" ht="19.5" customHeight="1" thickBot="1" x14ac:dyDescent="0.55000000000000004">
      <c r="E65" s="793"/>
      <c r="F65" s="794"/>
      <c r="G65" s="804"/>
      <c r="H65" s="805"/>
      <c r="I65" s="805"/>
      <c r="J65" s="805"/>
      <c r="K65" s="805"/>
      <c r="L65" s="805"/>
      <c r="M65" s="805"/>
      <c r="N65" s="805"/>
      <c r="O65" s="805"/>
      <c r="P65" s="805"/>
      <c r="Q65" s="805"/>
      <c r="R65" s="805"/>
      <c r="S65" s="805"/>
      <c r="T65" s="805"/>
      <c r="U65" s="805"/>
      <c r="V65" s="805"/>
      <c r="W65" s="805"/>
      <c r="X65" s="805"/>
      <c r="Y65" s="805"/>
      <c r="Z65" s="805"/>
      <c r="AA65" s="805"/>
      <c r="AB65" s="805"/>
      <c r="AC65" s="805"/>
      <c r="AD65" s="806"/>
    </row>
    <row r="66" spans="5:30" ht="19.5" customHeight="1" x14ac:dyDescent="0.5">
      <c r="E66" s="226"/>
      <c r="F66" s="226"/>
      <c r="G66" s="232"/>
      <c r="H66" s="232"/>
      <c r="I66" s="232"/>
      <c r="J66" s="232"/>
      <c r="K66" s="232"/>
      <c r="L66" s="232"/>
      <c r="M66" s="232"/>
      <c r="N66" s="232"/>
      <c r="O66" s="232"/>
      <c r="P66" s="232"/>
      <c r="Q66" s="232"/>
      <c r="R66" s="232"/>
      <c r="S66" s="232"/>
      <c r="T66" s="232"/>
    </row>
  </sheetData>
  <sheetProtection sheet="1" objects="1" scenarios="1"/>
  <mergeCells count="13">
    <mergeCell ref="E59:F65"/>
    <mergeCell ref="G59:AD65"/>
    <mergeCell ref="G38:AD43"/>
    <mergeCell ref="G45:AD50"/>
    <mergeCell ref="G52:AD57"/>
    <mergeCell ref="E38:F43"/>
    <mergeCell ref="E45:F50"/>
    <mergeCell ref="E52:F57"/>
    <mergeCell ref="A2:B2"/>
    <mergeCell ref="E31:F36"/>
    <mergeCell ref="F2:AA2"/>
    <mergeCell ref="G31:AD36"/>
    <mergeCell ref="AB2:AC2"/>
  </mergeCells>
  <pageMargins left="0.78740157480314965" right="0.59055118110236227" top="0.59055118110236227" bottom="0" header="0.31496062992125984" footer="0.31496062992125984"/>
  <pageSetup paperSize="9" scale="38" orientation="portrait" horizontalDpi="4294967293" r:id="rId1"/>
  <headerFooter alignWithMargins="0">
    <oddFooter>&amp;R© www.meesterharrie.nl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67"/>
  <sheetViews>
    <sheetView showGridLines="0" showRowColHeaders="0" zoomScale="75" zoomScaleNormal="75" workbookViewId="0">
      <selection activeCell="AH45" sqref="AH45"/>
    </sheetView>
  </sheetViews>
  <sheetFormatPr defaultColWidth="9.1796875" defaultRowHeight="18" x14ac:dyDescent="0.5"/>
  <cols>
    <col min="1" max="1" width="6.26953125" style="59" bestFit="1" customWidth="1"/>
    <col min="2" max="2" width="30.7265625" style="60" customWidth="1"/>
    <col min="3" max="3" width="4" style="59" customWidth="1"/>
    <col min="4" max="25" width="8.7265625" style="59" customWidth="1"/>
    <col min="26" max="16384" width="9.1796875" style="59"/>
  </cols>
  <sheetData>
    <row r="1" spans="1:30" ht="18.5" thickBot="1" x14ac:dyDescent="0.55000000000000004"/>
    <row r="2" spans="1:30" s="58" customFormat="1" ht="32.5" thickBot="1" x14ac:dyDescent="0.85">
      <c r="A2" s="787" t="s">
        <v>61</v>
      </c>
      <c r="B2" s="788"/>
      <c r="D2" s="231"/>
      <c r="E2" s="234">
        <v>3</v>
      </c>
      <c r="F2" s="795" t="str">
        <f>VLOOKUP($E$2,BEGINBLAD!B5:C40,2)</f>
        <v>leerling 3</v>
      </c>
      <c r="G2" s="796"/>
      <c r="H2" s="796"/>
      <c r="I2" s="796"/>
      <c r="J2" s="796"/>
      <c r="K2" s="796"/>
      <c r="L2" s="796"/>
      <c r="M2" s="796"/>
      <c r="N2" s="796"/>
      <c r="O2" s="796"/>
      <c r="P2" s="796"/>
      <c r="Q2" s="796"/>
      <c r="R2" s="796"/>
      <c r="S2" s="796"/>
      <c r="T2" s="796"/>
      <c r="U2" s="796"/>
      <c r="V2" s="796"/>
      <c r="W2" s="796"/>
      <c r="X2" s="796"/>
      <c r="Y2" s="796"/>
      <c r="Z2" s="796"/>
      <c r="AA2" s="797"/>
      <c r="AB2" s="807" t="s">
        <v>331</v>
      </c>
      <c r="AC2" s="808"/>
      <c r="AD2" s="552">
        <f>VLOOKUP($E$2,BEGINBLAD!B5:D40,3)</f>
        <v>0</v>
      </c>
    </row>
    <row r="3" spans="1:30" ht="50.15" customHeight="1" x14ac:dyDescent="0.5"/>
    <row r="4" spans="1:30" ht="19.5" customHeight="1" x14ac:dyDescent="0.5">
      <c r="A4" s="182">
        <v>1</v>
      </c>
      <c r="B4" s="183" t="str">
        <f>BEGINBLAD!C5</f>
        <v>leerling 1</v>
      </c>
    </row>
    <row r="5" spans="1:30" x14ac:dyDescent="0.5">
      <c r="A5" s="182">
        <v>2</v>
      </c>
      <c r="B5" s="183" t="str">
        <f>BEGINBLAD!C6</f>
        <v>leerling 2</v>
      </c>
      <c r="D5" s="68"/>
      <c r="E5" s="68"/>
    </row>
    <row r="6" spans="1:30" x14ac:dyDescent="0.5">
      <c r="A6" s="182">
        <v>3</v>
      </c>
      <c r="B6" s="183" t="str">
        <f>BEGINBLAD!C7</f>
        <v>leerling 3</v>
      </c>
      <c r="D6" s="68"/>
      <c r="E6" s="68"/>
    </row>
    <row r="7" spans="1:30" x14ac:dyDescent="0.5">
      <c r="A7" s="182">
        <v>4</v>
      </c>
      <c r="B7" s="183" t="str">
        <f>BEGINBLAD!C8</f>
        <v>leerling 4</v>
      </c>
      <c r="E7" s="61"/>
      <c r="F7" s="61"/>
      <c r="G7" s="61"/>
      <c r="H7" s="61"/>
      <c r="I7" s="61"/>
      <c r="J7" s="61"/>
      <c r="K7" s="61"/>
      <c r="L7" s="61"/>
      <c r="M7" s="61"/>
      <c r="N7" s="61"/>
      <c r="O7" s="61"/>
      <c r="P7" s="61"/>
      <c r="Q7" s="61"/>
      <c r="R7" s="61"/>
    </row>
    <row r="8" spans="1:30" x14ac:dyDescent="0.5">
      <c r="A8" s="182">
        <v>5</v>
      </c>
      <c r="B8" s="183" t="str">
        <f>BEGINBLAD!C9</f>
        <v>leerling 5</v>
      </c>
      <c r="E8" s="61"/>
      <c r="F8" s="61"/>
      <c r="G8" s="61"/>
      <c r="H8" s="61"/>
      <c r="I8" s="61"/>
      <c r="J8" s="61"/>
      <c r="K8" s="61"/>
      <c r="L8" s="61"/>
      <c r="M8" s="61"/>
      <c r="N8" s="61"/>
      <c r="O8" s="61"/>
      <c r="P8" s="61"/>
      <c r="Q8" s="61"/>
      <c r="R8" s="61"/>
    </row>
    <row r="9" spans="1:30" x14ac:dyDescent="0.5">
      <c r="A9" s="182">
        <v>6</v>
      </c>
      <c r="B9" s="183" t="str">
        <f>BEGINBLAD!C10</f>
        <v>leerling 6</v>
      </c>
      <c r="E9" s="61"/>
      <c r="F9" s="61"/>
      <c r="G9" s="61"/>
      <c r="H9" s="61"/>
      <c r="I9" s="61"/>
      <c r="J9" s="61"/>
      <c r="K9" s="61"/>
      <c r="L9" s="61"/>
      <c r="M9" s="61"/>
      <c r="N9" s="61"/>
      <c r="O9" s="61"/>
      <c r="P9" s="61"/>
      <c r="Q9" s="61"/>
      <c r="R9" s="61"/>
    </row>
    <row r="10" spans="1:30" x14ac:dyDescent="0.5">
      <c r="A10" s="182">
        <v>7</v>
      </c>
      <c r="B10" s="183" t="str">
        <f>BEGINBLAD!C11</f>
        <v>leerling 7</v>
      </c>
      <c r="E10" s="61"/>
      <c r="F10" s="61"/>
      <c r="G10" s="61"/>
      <c r="H10" s="61"/>
      <c r="I10" s="61"/>
      <c r="J10" s="61"/>
      <c r="K10" s="61"/>
      <c r="L10" s="61"/>
      <c r="M10" s="61"/>
      <c r="N10" s="61"/>
      <c r="O10" s="61"/>
      <c r="P10" s="61"/>
      <c r="Q10" s="61"/>
      <c r="R10" s="61"/>
    </row>
    <row r="11" spans="1:30" x14ac:dyDescent="0.5">
      <c r="A11" s="182">
        <v>8</v>
      </c>
      <c r="B11" s="183" t="str">
        <f>BEGINBLAD!C12</f>
        <v>leerling 8</v>
      </c>
      <c r="E11" s="61"/>
      <c r="F11" s="61"/>
      <c r="G11" s="61"/>
      <c r="H11" s="61"/>
      <c r="I11" s="61"/>
      <c r="J11" s="61"/>
      <c r="K11" s="61"/>
      <c r="L11" s="61"/>
      <c r="M11" s="61"/>
      <c r="N11" s="61"/>
      <c r="O11" s="61"/>
      <c r="P11" s="61"/>
      <c r="Q11" s="61"/>
      <c r="R11" s="61"/>
    </row>
    <row r="12" spans="1:30" x14ac:dyDescent="0.5">
      <c r="A12" s="182">
        <v>9</v>
      </c>
      <c r="B12" s="183" t="str">
        <f>BEGINBLAD!C13</f>
        <v>leerling 9</v>
      </c>
      <c r="E12" s="61"/>
      <c r="F12" s="61"/>
      <c r="G12" s="61"/>
      <c r="H12" s="219" t="s">
        <v>47</v>
      </c>
      <c r="I12" s="220" t="s">
        <v>48</v>
      </c>
      <c r="J12" s="221" t="s">
        <v>106</v>
      </c>
      <c r="K12" s="219" t="s">
        <v>53</v>
      </c>
      <c r="L12" s="220" t="s">
        <v>54</v>
      </c>
      <c r="M12" s="221" t="s">
        <v>106</v>
      </c>
      <c r="N12" s="219" t="s">
        <v>50</v>
      </c>
      <c r="O12" s="220" t="s">
        <v>51</v>
      </c>
      <c r="P12" s="221" t="s">
        <v>106</v>
      </c>
      <c r="Q12" s="219" t="s">
        <v>56</v>
      </c>
      <c r="R12" s="220" t="s">
        <v>57</v>
      </c>
      <c r="S12" s="221" t="s">
        <v>106</v>
      </c>
      <c r="T12" s="219" t="s">
        <v>103</v>
      </c>
      <c r="U12" s="220" t="s">
        <v>104</v>
      </c>
      <c r="V12" s="221" t="s">
        <v>106</v>
      </c>
      <c r="W12" s="60" t="s">
        <v>107</v>
      </c>
      <c r="X12" s="60"/>
    </row>
    <row r="13" spans="1:30" x14ac:dyDescent="0.5">
      <c r="A13" s="182">
        <v>10</v>
      </c>
      <c r="B13" s="183" t="str">
        <f>BEGINBLAD!C14</f>
        <v>leerling 10</v>
      </c>
      <c r="E13" s="69"/>
      <c r="F13" s="69"/>
      <c r="G13" s="69"/>
      <c r="H13" s="214">
        <f>VLOOKUP($E$2,'NIVEAU WAARDE - vorig jaar'!$B$9:$H$44,3)</f>
        <v>2.9</v>
      </c>
      <c r="I13" s="214">
        <f>VLOOKUP($E$2,'NIVEAU WAARDE - 1e toetsperiode'!$B$9:$H$44,3)</f>
        <v>3.6</v>
      </c>
      <c r="J13" s="214">
        <v>5</v>
      </c>
      <c r="K13" s="214">
        <f>VLOOKUP($E$2,'NIVEAU WAARDE - vorig jaar'!$B$9:$H$44,4)</f>
        <v>4</v>
      </c>
      <c r="L13" s="214">
        <f>VLOOKUP($E$2,'NIVEAU WAARDE - 1e toetsperiode'!$B$9:$H$44,4)</f>
        <v>3.7</v>
      </c>
      <c r="M13" s="214">
        <v>5</v>
      </c>
      <c r="N13" s="214">
        <f>VLOOKUP($E$2,'NIVEAU WAARDE - vorig jaar'!$B$9:$H$44,5)</f>
        <v>4.8</v>
      </c>
      <c r="O13" s="214">
        <f>VLOOKUP($E$2,'NIVEAU WAARDE - 1e toetsperiode'!$B$9:$H$44,5)</f>
        <v>4</v>
      </c>
      <c r="P13" s="214">
        <v>5</v>
      </c>
      <c r="Q13" s="214">
        <f>VLOOKUP($E$2,'NIVEAU WAARDE - vorig jaar'!$B$9:$H$44,6)</f>
        <v>4.0999999999999996</v>
      </c>
      <c r="R13" s="214">
        <f>VLOOKUP($E$2,'NIVEAU WAARDE - 1e toetsperiode'!$B$9:$H$44,6)</f>
        <v>4.9000000000000004</v>
      </c>
      <c r="S13" s="214">
        <v>5</v>
      </c>
      <c r="T13" s="214">
        <f>VLOOKUP($E$2,'NIVEAU WAARDE - vorig jaar'!$B$9:$H$44,7)</f>
        <v>4.3</v>
      </c>
      <c r="U13" s="214">
        <f>VLOOKUP($E$2,'NIVEAU WAARDE - 1e toetsperiode'!$B$9:$H$44,7)</f>
        <v>4.5</v>
      </c>
      <c r="V13" s="215">
        <v>5</v>
      </c>
      <c r="W13" s="217">
        <f>Y13/X13</f>
        <v>4.08</v>
      </c>
      <c r="X13" s="217">
        <f>COUNTIF(H13:V13,"&gt;0")-5</f>
        <v>10</v>
      </c>
      <c r="Y13" s="218">
        <f>H13+I13+K13+L13+N13+O13+Q13+R13+T13+U13</f>
        <v>40.799999999999997</v>
      </c>
      <c r="Z13" s="213"/>
    </row>
    <row r="14" spans="1:30" x14ac:dyDescent="0.5">
      <c r="A14" s="182">
        <v>11</v>
      </c>
      <c r="B14" s="183" t="str">
        <f>BEGINBLAD!C15</f>
        <v>leerling 11</v>
      </c>
      <c r="H14" s="60">
        <f>H13*2</f>
        <v>5.8</v>
      </c>
      <c r="I14" s="60">
        <f t="shared" ref="I14:W14" si="0">I13*2</f>
        <v>7.2</v>
      </c>
      <c r="J14" s="60">
        <f t="shared" si="0"/>
        <v>10</v>
      </c>
      <c r="K14" s="60">
        <f t="shared" si="0"/>
        <v>8</v>
      </c>
      <c r="L14" s="60">
        <f t="shared" si="0"/>
        <v>7.4</v>
      </c>
      <c r="M14" s="60">
        <f t="shared" si="0"/>
        <v>10</v>
      </c>
      <c r="N14" s="60">
        <f t="shared" si="0"/>
        <v>9.6</v>
      </c>
      <c r="O14" s="60">
        <f t="shared" si="0"/>
        <v>8</v>
      </c>
      <c r="P14" s="60">
        <f t="shared" si="0"/>
        <v>10</v>
      </c>
      <c r="Q14" s="60">
        <f t="shared" si="0"/>
        <v>8.1999999999999993</v>
      </c>
      <c r="R14" s="60">
        <f t="shared" si="0"/>
        <v>9.8000000000000007</v>
      </c>
      <c r="S14" s="60">
        <f t="shared" si="0"/>
        <v>10</v>
      </c>
      <c r="T14" s="60">
        <f t="shared" si="0"/>
        <v>8.6</v>
      </c>
      <c r="U14" s="60">
        <f t="shared" si="0"/>
        <v>9</v>
      </c>
      <c r="V14" s="60">
        <f t="shared" si="0"/>
        <v>10</v>
      </c>
      <c r="W14" s="218">
        <f t="shared" si="0"/>
        <v>8.16</v>
      </c>
      <c r="X14" s="60"/>
      <c r="Y14" s="60"/>
    </row>
    <row r="15" spans="1:30" x14ac:dyDescent="0.5">
      <c r="A15" s="182">
        <v>12</v>
      </c>
      <c r="B15" s="183" t="str">
        <f>BEGINBLAD!C16</f>
        <v>leerling 12</v>
      </c>
    </row>
    <row r="16" spans="1:30" x14ac:dyDescent="0.5">
      <c r="A16" s="182">
        <v>13</v>
      </c>
      <c r="B16" s="183" t="str">
        <f>BEGINBLAD!C17</f>
        <v>leerling 13</v>
      </c>
      <c r="E16" s="61"/>
      <c r="F16" s="61"/>
      <c r="G16" s="61"/>
      <c r="H16" s="61"/>
      <c r="I16" s="61"/>
      <c r="J16" s="61"/>
      <c r="K16" s="61"/>
      <c r="L16" s="61"/>
      <c r="M16" s="61"/>
      <c r="N16" s="61"/>
      <c r="O16" s="61"/>
      <c r="P16" s="61"/>
      <c r="Q16" s="61"/>
      <c r="R16" s="61"/>
    </row>
    <row r="17" spans="1:30" x14ac:dyDescent="0.5">
      <c r="A17" s="182">
        <v>14</v>
      </c>
      <c r="B17" s="183" t="str">
        <f>BEGINBLAD!C18</f>
        <v>leerling 14</v>
      </c>
      <c r="E17" s="61"/>
      <c r="F17" s="61"/>
      <c r="G17" s="61"/>
      <c r="H17" s="61"/>
      <c r="I17" s="61"/>
      <c r="J17" s="61"/>
      <c r="K17" s="61"/>
      <c r="L17" s="61"/>
      <c r="M17" s="61"/>
      <c r="N17" s="61"/>
      <c r="O17" s="61"/>
      <c r="P17" s="61"/>
      <c r="Q17" s="61"/>
      <c r="R17" s="61"/>
    </row>
    <row r="18" spans="1:30" x14ac:dyDescent="0.5">
      <c r="A18" s="182">
        <v>15</v>
      </c>
      <c r="B18" s="183" t="str">
        <f>BEGINBLAD!C19</f>
        <v>leerling 15</v>
      </c>
      <c r="E18" s="62"/>
      <c r="F18" s="61"/>
      <c r="G18" s="61"/>
      <c r="H18" s="61"/>
      <c r="I18" s="61"/>
      <c r="J18" s="61"/>
      <c r="K18" s="61"/>
      <c r="L18" s="61"/>
      <c r="M18" s="61"/>
      <c r="N18" s="61"/>
      <c r="O18" s="61"/>
      <c r="P18" s="61"/>
      <c r="Q18" s="61"/>
      <c r="R18" s="61"/>
    </row>
    <row r="19" spans="1:30" x14ac:dyDescent="0.5">
      <c r="A19" s="182">
        <v>16</v>
      </c>
      <c r="B19" s="183" t="str">
        <f>BEGINBLAD!C20</f>
        <v>leerling 16</v>
      </c>
      <c r="E19" s="63"/>
      <c r="F19" s="63"/>
      <c r="G19" s="63"/>
      <c r="H19" s="63"/>
      <c r="I19" s="61"/>
      <c r="J19" s="63"/>
      <c r="K19" s="61"/>
      <c r="L19" s="61"/>
      <c r="M19" s="63"/>
      <c r="N19" s="61"/>
      <c r="O19" s="61"/>
      <c r="P19" s="61"/>
      <c r="Q19" s="61"/>
      <c r="R19" s="61"/>
    </row>
    <row r="20" spans="1:30" x14ac:dyDescent="0.5">
      <c r="A20" s="182">
        <v>17</v>
      </c>
      <c r="B20" s="183" t="str">
        <f>BEGINBLAD!C21</f>
        <v>leerling 17</v>
      </c>
      <c r="E20" s="64"/>
      <c r="F20" s="64"/>
      <c r="G20" s="65"/>
      <c r="H20" s="65"/>
      <c r="I20" s="61"/>
      <c r="J20" s="64"/>
      <c r="K20" s="61"/>
      <c r="L20" s="61"/>
      <c r="M20" s="65"/>
      <c r="N20" s="61"/>
      <c r="O20" s="61"/>
      <c r="P20" s="61"/>
      <c r="Q20" s="61"/>
      <c r="R20" s="61"/>
    </row>
    <row r="21" spans="1:30" x14ac:dyDescent="0.5">
      <c r="A21" s="182">
        <v>18</v>
      </c>
      <c r="B21" s="183" t="str">
        <f>BEGINBLAD!C22</f>
        <v>leerling 18</v>
      </c>
      <c r="E21" s="61"/>
      <c r="F21" s="61"/>
      <c r="G21" s="61"/>
      <c r="H21" s="61"/>
      <c r="I21" s="61"/>
      <c r="J21" s="61"/>
      <c r="K21" s="61"/>
      <c r="L21" s="61"/>
      <c r="M21" s="61"/>
      <c r="N21" s="61"/>
      <c r="O21" s="61"/>
      <c r="P21" s="61"/>
      <c r="Q21" s="61"/>
      <c r="R21" s="61"/>
    </row>
    <row r="22" spans="1:30" x14ac:dyDescent="0.5">
      <c r="A22" s="182">
        <v>19</v>
      </c>
      <c r="B22" s="183" t="str">
        <f>BEGINBLAD!C23</f>
        <v>leerling 19</v>
      </c>
      <c r="E22" s="61"/>
      <c r="F22" s="61"/>
      <c r="G22" s="61"/>
      <c r="H22" s="61"/>
      <c r="I22" s="61"/>
      <c r="J22" s="61"/>
      <c r="K22" s="61"/>
      <c r="L22" s="61"/>
      <c r="M22" s="61"/>
      <c r="N22" s="61"/>
      <c r="O22" s="61"/>
      <c r="P22" s="61"/>
      <c r="Q22" s="61"/>
      <c r="R22" s="61"/>
    </row>
    <row r="23" spans="1:30" ht="15" customHeight="1" x14ac:dyDescent="0.5">
      <c r="A23" s="182">
        <v>20</v>
      </c>
      <c r="B23" s="183" t="str">
        <f>BEGINBLAD!C24</f>
        <v>leerling 20</v>
      </c>
    </row>
    <row r="24" spans="1:30" x14ac:dyDescent="0.5">
      <c r="A24" s="182">
        <v>21</v>
      </c>
      <c r="B24" s="183" t="str">
        <f>BEGINBLAD!C25</f>
        <v>leerling 21</v>
      </c>
    </row>
    <row r="25" spans="1:30" x14ac:dyDescent="0.5">
      <c r="A25" s="182">
        <v>22</v>
      </c>
      <c r="B25" s="183" t="str">
        <f>BEGINBLAD!C26</f>
        <v>leerling 22</v>
      </c>
    </row>
    <row r="26" spans="1:30" x14ac:dyDescent="0.5">
      <c r="A26" s="182">
        <v>23</v>
      </c>
      <c r="B26" s="183" t="str">
        <f>BEGINBLAD!C27</f>
        <v>leerling 23</v>
      </c>
    </row>
    <row r="27" spans="1:30" x14ac:dyDescent="0.5">
      <c r="A27" s="182">
        <v>24</v>
      </c>
      <c r="B27" s="183" t="str">
        <f>BEGINBLAD!C28</f>
        <v>leerling 24</v>
      </c>
    </row>
    <row r="28" spans="1:30" ht="15.75" customHeight="1" x14ac:dyDescent="0.5">
      <c r="A28" s="182">
        <v>25</v>
      </c>
      <c r="B28" s="183" t="str">
        <f>BEGINBLAD!C29</f>
        <v>leerling 25</v>
      </c>
    </row>
    <row r="29" spans="1:30" x14ac:dyDescent="0.5">
      <c r="A29" s="182">
        <v>26</v>
      </c>
      <c r="B29" s="183" t="str">
        <f>BEGINBLAD!C30</f>
        <v>leerling 26</v>
      </c>
    </row>
    <row r="30" spans="1:30" ht="18.5" thickBot="1" x14ac:dyDescent="0.55000000000000004">
      <c r="A30" s="182">
        <v>27</v>
      </c>
      <c r="B30" s="183">
        <f>BEGINBLAD!C31</f>
        <v>0</v>
      </c>
    </row>
    <row r="31" spans="1:30" x14ac:dyDescent="0.5">
      <c r="A31" s="182">
        <v>28</v>
      </c>
      <c r="B31" s="183">
        <f>BEGINBLAD!C32</f>
        <v>0</v>
      </c>
      <c r="E31" s="789" t="s">
        <v>112</v>
      </c>
      <c r="F31" s="790"/>
      <c r="G31" s="810" t="s">
        <v>108</v>
      </c>
      <c r="H31" s="811"/>
      <c r="I31" s="811"/>
      <c r="J31" s="811"/>
      <c r="K31" s="811"/>
      <c r="L31" s="811"/>
      <c r="M31" s="811"/>
      <c r="N31" s="811"/>
      <c r="O31" s="811"/>
      <c r="P31" s="811"/>
      <c r="Q31" s="811"/>
      <c r="R31" s="811"/>
      <c r="S31" s="811"/>
      <c r="T31" s="811"/>
      <c r="U31" s="811"/>
      <c r="V31" s="811"/>
      <c r="W31" s="811"/>
      <c r="X31" s="811"/>
      <c r="Y31" s="811"/>
      <c r="Z31" s="811"/>
      <c r="AA31" s="811"/>
      <c r="AB31" s="811"/>
      <c r="AC31" s="811"/>
      <c r="AD31" s="812"/>
    </row>
    <row r="32" spans="1:30" x14ac:dyDescent="0.5">
      <c r="A32" s="182">
        <v>29</v>
      </c>
      <c r="B32" s="183">
        <f>BEGINBLAD!C33</f>
        <v>0</v>
      </c>
      <c r="E32" s="791"/>
      <c r="F32" s="792"/>
      <c r="G32" s="813"/>
      <c r="H32" s="814"/>
      <c r="I32" s="814"/>
      <c r="J32" s="814"/>
      <c r="K32" s="814"/>
      <c r="L32" s="814"/>
      <c r="M32" s="814"/>
      <c r="N32" s="814"/>
      <c r="O32" s="814"/>
      <c r="P32" s="814"/>
      <c r="Q32" s="814"/>
      <c r="R32" s="814"/>
      <c r="S32" s="814"/>
      <c r="T32" s="814"/>
      <c r="U32" s="814"/>
      <c r="V32" s="814"/>
      <c r="W32" s="814"/>
      <c r="X32" s="814"/>
      <c r="Y32" s="814"/>
      <c r="Z32" s="814"/>
      <c r="AA32" s="814"/>
      <c r="AB32" s="814"/>
      <c r="AC32" s="814"/>
      <c r="AD32" s="815"/>
    </row>
    <row r="33" spans="1:30" x14ac:dyDescent="0.5">
      <c r="A33" s="182">
        <v>30</v>
      </c>
      <c r="B33" s="183">
        <f>BEGINBLAD!C34</f>
        <v>0</v>
      </c>
      <c r="E33" s="791"/>
      <c r="F33" s="792"/>
      <c r="G33" s="813"/>
      <c r="H33" s="814"/>
      <c r="I33" s="814"/>
      <c r="J33" s="814"/>
      <c r="K33" s="814"/>
      <c r="L33" s="814"/>
      <c r="M33" s="814"/>
      <c r="N33" s="814"/>
      <c r="O33" s="814"/>
      <c r="P33" s="814"/>
      <c r="Q33" s="814"/>
      <c r="R33" s="814"/>
      <c r="S33" s="814"/>
      <c r="T33" s="814"/>
      <c r="U33" s="814"/>
      <c r="V33" s="814"/>
      <c r="W33" s="814"/>
      <c r="X33" s="814"/>
      <c r="Y33" s="814"/>
      <c r="Z33" s="814"/>
      <c r="AA33" s="814"/>
      <c r="AB33" s="814"/>
      <c r="AC33" s="814"/>
      <c r="AD33" s="815"/>
    </row>
    <row r="34" spans="1:30" x14ac:dyDescent="0.5">
      <c r="A34" s="182">
        <v>31</v>
      </c>
      <c r="B34" s="183">
        <f>BEGINBLAD!C35</f>
        <v>0</v>
      </c>
      <c r="E34" s="791"/>
      <c r="F34" s="792"/>
      <c r="G34" s="813"/>
      <c r="H34" s="814"/>
      <c r="I34" s="814"/>
      <c r="J34" s="814"/>
      <c r="K34" s="814"/>
      <c r="L34" s="814"/>
      <c r="M34" s="814"/>
      <c r="N34" s="814"/>
      <c r="O34" s="814"/>
      <c r="P34" s="814"/>
      <c r="Q34" s="814"/>
      <c r="R34" s="814"/>
      <c r="S34" s="814"/>
      <c r="T34" s="814"/>
      <c r="U34" s="814"/>
      <c r="V34" s="814"/>
      <c r="W34" s="814"/>
      <c r="X34" s="814"/>
      <c r="Y34" s="814"/>
      <c r="Z34" s="814"/>
      <c r="AA34" s="814"/>
      <c r="AB34" s="814"/>
      <c r="AC34" s="814"/>
      <c r="AD34" s="815"/>
    </row>
    <row r="35" spans="1:30" x14ac:dyDescent="0.5">
      <c r="A35" s="182">
        <v>32</v>
      </c>
      <c r="B35" s="183">
        <f>BEGINBLAD!C36</f>
        <v>0</v>
      </c>
      <c r="E35" s="791"/>
      <c r="F35" s="792"/>
      <c r="G35" s="813"/>
      <c r="H35" s="814"/>
      <c r="I35" s="814"/>
      <c r="J35" s="814"/>
      <c r="K35" s="814"/>
      <c r="L35" s="814"/>
      <c r="M35" s="814"/>
      <c r="N35" s="814"/>
      <c r="O35" s="814"/>
      <c r="P35" s="814"/>
      <c r="Q35" s="814"/>
      <c r="R35" s="814"/>
      <c r="S35" s="814"/>
      <c r="T35" s="814"/>
      <c r="U35" s="814"/>
      <c r="V35" s="814"/>
      <c r="W35" s="814"/>
      <c r="X35" s="814"/>
      <c r="Y35" s="814"/>
      <c r="Z35" s="814"/>
      <c r="AA35" s="814"/>
      <c r="AB35" s="814"/>
      <c r="AC35" s="814"/>
      <c r="AD35" s="815"/>
    </row>
    <row r="36" spans="1:30" ht="18.5" thickBot="1" x14ac:dyDescent="0.55000000000000004">
      <c r="A36" s="182">
        <v>33</v>
      </c>
      <c r="B36" s="183">
        <f>BEGINBLAD!C37</f>
        <v>0</v>
      </c>
      <c r="E36" s="793"/>
      <c r="F36" s="794"/>
      <c r="G36" s="816"/>
      <c r="H36" s="817"/>
      <c r="I36" s="817"/>
      <c r="J36" s="817"/>
      <c r="K36" s="817"/>
      <c r="L36" s="817"/>
      <c r="M36" s="817"/>
      <c r="N36" s="817"/>
      <c r="O36" s="817"/>
      <c r="P36" s="817"/>
      <c r="Q36" s="817"/>
      <c r="R36" s="817"/>
      <c r="S36" s="817"/>
      <c r="T36" s="817"/>
      <c r="U36" s="817"/>
      <c r="V36" s="817"/>
      <c r="W36" s="817"/>
      <c r="X36" s="817"/>
      <c r="Y36" s="817"/>
      <c r="Z36" s="817"/>
      <c r="AA36" s="817"/>
      <c r="AB36" s="817"/>
      <c r="AC36" s="817"/>
      <c r="AD36" s="818"/>
    </row>
    <row r="37" spans="1:30" ht="19.5" customHeight="1" thickBot="1" x14ac:dyDescent="0.9">
      <c r="A37" s="182">
        <v>34</v>
      </c>
      <c r="B37" s="183">
        <f>BEGINBLAD!C38</f>
        <v>0</v>
      </c>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row>
    <row r="38" spans="1:30" ht="19.5" customHeight="1" x14ac:dyDescent="0.5">
      <c r="A38" s="182">
        <v>35</v>
      </c>
      <c r="B38" s="183">
        <f>BEGINBLAD!C39</f>
        <v>0</v>
      </c>
      <c r="E38" s="789" t="s">
        <v>111</v>
      </c>
      <c r="F38" s="790"/>
      <c r="G38" s="798" t="s">
        <v>109</v>
      </c>
      <c r="H38" s="799"/>
      <c r="I38" s="799"/>
      <c r="J38" s="799"/>
      <c r="K38" s="799"/>
      <c r="L38" s="799"/>
      <c r="M38" s="799"/>
      <c r="N38" s="799"/>
      <c r="O38" s="799"/>
      <c r="P38" s="799"/>
      <c r="Q38" s="799"/>
      <c r="R38" s="799"/>
      <c r="S38" s="799"/>
      <c r="T38" s="799"/>
      <c r="U38" s="799"/>
      <c r="V38" s="799"/>
      <c r="W38" s="799"/>
      <c r="X38" s="799"/>
      <c r="Y38" s="799"/>
      <c r="Z38" s="799"/>
      <c r="AA38" s="799"/>
      <c r="AB38" s="799"/>
      <c r="AC38" s="799"/>
      <c r="AD38" s="800"/>
    </row>
    <row r="39" spans="1:30" ht="19.5" customHeight="1" x14ac:dyDescent="0.5">
      <c r="A39" s="182">
        <v>36</v>
      </c>
      <c r="B39" s="183">
        <f>BEGINBLAD!C40</f>
        <v>0</v>
      </c>
      <c r="E39" s="791"/>
      <c r="F39" s="792"/>
      <c r="G39" s="801"/>
      <c r="H39" s="802"/>
      <c r="I39" s="802"/>
      <c r="J39" s="802"/>
      <c r="K39" s="802"/>
      <c r="L39" s="802"/>
      <c r="M39" s="802"/>
      <c r="N39" s="802"/>
      <c r="O39" s="802"/>
      <c r="P39" s="802"/>
      <c r="Q39" s="802"/>
      <c r="R39" s="802"/>
      <c r="S39" s="802"/>
      <c r="T39" s="802"/>
      <c r="U39" s="802"/>
      <c r="V39" s="802"/>
      <c r="W39" s="802"/>
      <c r="X39" s="802"/>
      <c r="Y39" s="802"/>
      <c r="Z39" s="802"/>
      <c r="AA39" s="802"/>
      <c r="AB39" s="802"/>
      <c r="AC39" s="802"/>
      <c r="AD39" s="803"/>
    </row>
    <row r="40" spans="1:30" ht="19.5" customHeight="1" x14ac:dyDescent="0.5">
      <c r="E40" s="791"/>
      <c r="F40" s="792"/>
      <c r="G40" s="801"/>
      <c r="H40" s="802"/>
      <c r="I40" s="802"/>
      <c r="J40" s="802"/>
      <c r="K40" s="802"/>
      <c r="L40" s="802"/>
      <c r="M40" s="802"/>
      <c r="N40" s="802"/>
      <c r="O40" s="802"/>
      <c r="P40" s="802"/>
      <c r="Q40" s="802"/>
      <c r="R40" s="802"/>
      <c r="S40" s="802"/>
      <c r="T40" s="802"/>
      <c r="U40" s="802"/>
      <c r="V40" s="802"/>
      <c r="W40" s="802"/>
      <c r="X40" s="802"/>
      <c r="Y40" s="802"/>
      <c r="Z40" s="802"/>
      <c r="AA40" s="802"/>
      <c r="AB40" s="802"/>
      <c r="AC40" s="802"/>
      <c r="AD40" s="803"/>
    </row>
    <row r="41" spans="1:30" ht="19.5" customHeight="1" x14ac:dyDescent="0.5">
      <c r="A41" s="66"/>
      <c r="B41" s="67"/>
      <c r="E41" s="791"/>
      <c r="F41" s="792"/>
      <c r="G41" s="801"/>
      <c r="H41" s="802"/>
      <c r="I41" s="802"/>
      <c r="J41" s="802"/>
      <c r="K41" s="802"/>
      <c r="L41" s="802"/>
      <c r="M41" s="802"/>
      <c r="N41" s="802"/>
      <c r="O41" s="802"/>
      <c r="P41" s="802"/>
      <c r="Q41" s="802"/>
      <c r="R41" s="802"/>
      <c r="S41" s="802"/>
      <c r="T41" s="802"/>
      <c r="U41" s="802"/>
      <c r="V41" s="802"/>
      <c r="W41" s="802"/>
      <c r="X41" s="802"/>
      <c r="Y41" s="802"/>
      <c r="Z41" s="802"/>
      <c r="AA41" s="802"/>
      <c r="AB41" s="802"/>
      <c r="AC41" s="802"/>
      <c r="AD41" s="803"/>
    </row>
    <row r="42" spans="1:30" ht="19.5" customHeight="1" x14ac:dyDescent="0.5">
      <c r="A42" s="66"/>
      <c r="B42" s="67"/>
      <c r="E42" s="791"/>
      <c r="F42" s="792"/>
      <c r="G42" s="801"/>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row>
    <row r="43" spans="1:30" ht="19.5" customHeight="1" thickBot="1" x14ac:dyDescent="0.55000000000000004">
      <c r="E43" s="793"/>
      <c r="F43" s="794"/>
      <c r="G43" s="804"/>
      <c r="H43" s="805"/>
      <c r="I43" s="805"/>
      <c r="J43" s="805"/>
      <c r="K43" s="805"/>
      <c r="L43" s="805"/>
      <c r="M43" s="805"/>
      <c r="N43" s="805"/>
      <c r="O43" s="805"/>
      <c r="P43" s="805"/>
      <c r="Q43" s="805"/>
      <c r="R43" s="805"/>
      <c r="S43" s="805"/>
      <c r="T43" s="805"/>
      <c r="U43" s="805"/>
      <c r="V43" s="805"/>
      <c r="W43" s="805"/>
      <c r="X43" s="805"/>
      <c r="Y43" s="805"/>
      <c r="Z43" s="805"/>
      <c r="AA43" s="805"/>
      <c r="AB43" s="805"/>
      <c r="AC43" s="805"/>
      <c r="AD43" s="806"/>
    </row>
    <row r="44" spans="1:30" ht="19.5" customHeight="1" thickBot="1" x14ac:dyDescent="0.9">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row>
    <row r="45" spans="1:30" ht="19.5" customHeight="1" x14ac:dyDescent="0.5">
      <c r="E45" s="789" t="s">
        <v>110</v>
      </c>
      <c r="F45" s="790"/>
      <c r="G45" s="798" t="s">
        <v>115</v>
      </c>
      <c r="H45" s="799"/>
      <c r="I45" s="799"/>
      <c r="J45" s="799"/>
      <c r="K45" s="799"/>
      <c r="L45" s="799"/>
      <c r="M45" s="799"/>
      <c r="N45" s="799"/>
      <c r="O45" s="799"/>
      <c r="P45" s="799"/>
      <c r="Q45" s="799"/>
      <c r="R45" s="799"/>
      <c r="S45" s="799"/>
      <c r="T45" s="799"/>
      <c r="U45" s="799"/>
      <c r="V45" s="799"/>
      <c r="W45" s="799"/>
      <c r="X45" s="799"/>
      <c r="Y45" s="799"/>
      <c r="Z45" s="799"/>
      <c r="AA45" s="799"/>
      <c r="AB45" s="799"/>
      <c r="AC45" s="799"/>
      <c r="AD45" s="800"/>
    </row>
    <row r="46" spans="1:30" ht="19.5" customHeight="1" x14ac:dyDescent="0.5">
      <c r="E46" s="791"/>
      <c r="F46" s="792"/>
      <c r="G46" s="801"/>
      <c r="H46" s="802"/>
      <c r="I46" s="802"/>
      <c r="J46" s="802"/>
      <c r="K46" s="802"/>
      <c r="L46" s="802"/>
      <c r="M46" s="802"/>
      <c r="N46" s="802"/>
      <c r="O46" s="802"/>
      <c r="P46" s="802"/>
      <c r="Q46" s="802"/>
      <c r="R46" s="802"/>
      <c r="S46" s="802"/>
      <c r="T46" s="802"/>
      <c r="U46" s="802"/>
      <c r="V46" s="802"/>
      <c r="W46" s="802"/>
      <c r="X46" s="802"/>
      <c r="Y46" s="802"/>
      <c r="Z46" s="802"/>
      <c r="AA46" s="802"/>
      <c r="AB46" s="802"/>
      <c r="AC46" s="802"/>
      <c r="AD46" s="803"/>
    </row>
    <row r="47" spans="1:30" ht="19.5" customHeight="1" x14ac:dyDescent="0.5">
      <c r="E47" s="791"/>
      <c r="F47" s="792"/>
      <c r="G47" s="801"/>
      <c r="H47" s="802"/>
      <c r="I47" s="802"/>
      <c r="J47" s="802"/>
      <c r="K47" s="802"/>
      <c r="L47" s="802"/>
      <c r="M47" s="802"/>
      <c r="N47" s="802"/>
      <c r="O47" s="802"/>
      <c r="P47" s="802"/>
      <c r="Q47" s="802"/>
      <c r="R47" s="802"/>
      <c r="S47" s="802"/>
      <c r="T47" s="802"/>
      <c r="U47" s="802"/>
      <c r="V47" s="802"/>
      <c r="W47" s="802"/>
      <c r="X47" s="802"/>
      <c r="Y47" s="802"/>
      <c r="Z47" s="802"/>
      <c r="AA47" s="802"/>
      <c r="AB47" s="802"/>
      <c r="AC47" s="802"/>
      <c r="AD47" s="803"/>
    </row>
    <row r="48" spans="1:30" ht="19.5" customHeight="1" x14ac:dyDescent="0.5">
      <c r="E48" s="791"/>
      <c r="F48" s="792"/>
      <c r="G48" s="801"/>
      <c r="H48" s="802"/>
      <c r="I48" s="802"/>
      <c r="J48" s="802"/>
      <c r="K48" s="802"/>
      <c r="L48" s="802"/>
      <c r="M48" s="802"/>
      <c r="N48" s="802"/>
      <c r="O48" s="802"/>
      <c r="P48" s="802"/>
      <c r="Q48" s="802"/>
      <c r="R48" s="802"/>
      <c r="S48" s="802"/>
      <c r="T48" s="802"/>
      <c r="U48" s="802"/>
      <c r="V48" s="802"/>
      <c r="W48" s="802"/>
      <c r="X48" s="802"/>
      <c r="Y48" s="802"/>
      <c r="Z48" s="802"/>
      <c r="AA48" s="802"/>
      <c r="AB48" s="802"/>
      <c r="AC48" s="802"/>
      <c r="AD48" s="803"/>
    </row>
    <row r="49" spans="5:30" ht="19.5" customHeight="1" x14ac:dyDescent="0.5">
      <c r="E49" s="791"/>
      <c r="F49" s="792"/>
      <c r="G49" s="801"/>
      <c r="H49" s="802"/>
      <c r="I49" s="802"/>
      <c r="J49" s="802"/>
      <c r="K49" s="802"/>
      <c r="L49" s="802"/>
      <c r="M49" s="802"/>
      <c r="N49" s="802"/>
      <c r="O49" s="802"/>
      <c r="P49" s="802"/>
      <c r="Q49" s="802"/>
      <c r="R49" s="802"/>
      <c r="S49" s="802"/>
      <c r="T49" s="802"/>
      <c r="U49" s="802"/>
      <c r="V49" s="802"/>
      <c r="W49" s="802"/>
      <c r="X49" s="802"/>
      <c r="Y49" s="802"/>
      <c r="Z49" s="802"/>
      <c r="AA49" s="802"/>
      <c r="AB49" s="802"/>
      <c r="AC49" s="802"/>
      <c r="AD49" s="803"/>
    </row>
    <row r="50" spans="5:30" ht="19.5" customHeight="1" thickBot="1" x14ac:dyDescent="0.55000000000000004">
      <c r="E50" s="793"/>
      <c r="F50" s="794"/>
      <c r="G50" s="804"/>
      <c r="H50" s="805"/>
      <c r="I50" s="805"/>
      <c r="J50" s="805"/>
      <c r="K50" s="805"/>
      <c r="L50" s="805"/>
      <c r="M50" s="805"/>
      <c r="N50" s="805"/>
      <c r="O50" s="805"/>
      <c r="P50" s="805"/>
      <c r="Q50" s="805"/>
      <c r="R50" s="805"/>
      <c r="S50" s="805"/>
      <c r="T50" s="805"/>
      <c r="U50" s="805"/>
      <c r="V50" s="805"/>
      <c r="W50" s="805"/>
      <c r="X50" s="805"/>
      <c r="Y50" s="805"/>
      <c r="Z50" s="805"/>
      <c r="AA50" s="805"/>
      <c r="AB50" s="805"/>
      <c r="AC50" s="805"/>
      <c r="AD50" s="806"/>
    </row>
    <row r="51" spans="5:30" ht="19.5" customHeight="1" thickBot="1" x14ac:dyDescent="0.9">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row>
    <row r="52" spans="5:30" ht="19.5" customHeight="1" x14ac:dyDescent="0.5">
      <c r="E52" s="789" t="s">
        <v>113</v>
      </c>
      <c r="F52" s="790"/>
      <c r="G52" s="798" t="s">
        <v>116</v>
      </c>
      <c r="H52" s="799"/>
      <c r="I52" s="799"/>
      <c r="J52" s="799"/>
      <c r="K52" s="799"/>
      <c r="L52" s="799"/>
      <c r="M52" s="799"/>
      <c r="N52" s="799"/>
      <c r="O52" s="799"/>
      <c r="P52" s="799"/>
      <c r="Q52" s="799"/>
      <c r="R52" s="799"/>
      <c r="S52" s="799"/>
      <c r="T52" s="799"/>
      <c r="U52" s="799"/>
      <c r="V52" s="799"/>
      <c r="W52" s="799"/>
      <c r="X52" s="799"/>
      <c r="Y52" s="799"/>
      <c r="Z52" s="799"/>
      <c r="AA52" s="799"/>
      <c r="AB52" s="799"/>
      <c r="AC52" s="799"/>
      <c r="AD52" s="800"/>
    </row>
    <row r="53" spans="5:30" ht="19.5" customHeight="1" x14ac:dyDescent="0.5">
      <c r="E53" s="791"/>
      <c r="F53" s="792"/>
      <c r="G53" s="801"/>
      <c r="H53" s="802"/>
      <c r="I53" s="802"/>
      <c r="J53" s="802"/>
      <c r="K53" s="802"/>
      <c r="L53" s="802"/>
      <c r="M53" s="802"/>
      <c r="N53" s="802"/>
      <c r="O53" s="802"/>
      <c r="P53" s="802"/>
      <c r="Q53" s="802"/>
      <c r="R53" s="802"/>
      <c r="S53" s="802"/>
      <c r="T53" s="802"/>
      <c r="U53" s="802"/>
      <c r="V53" s="802"/>
      <c r="W53" s="802"/>
      <c r="X53" s="802"/>
      <c r="Y53" s="802"/>
      <c r="Z53" s="802"/>
      <c r="AA53" s="802"/>
      <c r="AB53" s="802"/>
      <c r="AC53" s="802"/>
      <c r="AD53" s="803"/>
    </row>
    <row r="54" spans="5:30" ht="19.5" customHeight="1" x14ac:dyDescent="0.5">
      <c r="E54" s="791"/>
      <c r="F54" s="792"/>
      <c r="G54" s="801"/>
      <c r="H54" s="802"/>
      <c r="I54" s="802"/>
      <c r="J54" s="802"/>
      <c r="K54" s="802"/>
      <c r="L54" s="802"/>
      <c r="M54" s="802"/>
      <c r="N54" s="802"/>
      <c r="O54" s="802"/>
      <c r="P54" s="802"/>
      <c r="Q54" s="802"/>
      <c r="R54" s="802"/>
      <c r="S54" s="802"/>
      <c r="T54" s="802"/>
      <c r="U54" s="802"/>
      <c r="V54" s="802"/>
      <c r="W54" s="802"/>
      <c r="X54" s="802"/>
      <c r="Y54" s="802"/>
      <c r="Z54" s="802"/>
      <c r="AA54" s="802"/>
      <c r="AB54" s="802"/>
      <c r="AC54" s="802"/>
      <c r="AD54" s="803"/>
    </row>
    <row r="55" spans="5:30" ht="19.5" customHeight="1" x14ac:dyDescent="0.5">
      <c r="E55" s="791"/>
      <c r="F55" s="792"/>
      <c r="G55" s="801"/>
      <c r="H55" s="802"/>
      <c r="I55" s="802"/>
      <c r="J55" s="802"/>
      <c r="K55" s="802"/>
      <c r="L55" s="802"/>
      <c r="M55" s="802"/>
      <c r="N55" s="802"/>
      <c r="O55" s="802"/>
      <c r="P55" s="802"/>
      <c r="Q55" s="802"/>
      <c r="R55" s="802"/>
      <c r="S55" s="802"/>
      <c r="T55" s="802"/>
      <c r="U55" s="802"/>
      <c r="V55" s="802"/>
      <c r="W55" s="802"/>
      <c r="X55" s="802"/>
      <c r="Y55" s="802"/>
      <c r="Z55" s="802"/>
      <c r="AA55" s="802"/>
      <c r="AB55" s="802"/>
      <c r="AC55" s="802"/>
      <c r="AD55" s="803"/>
    </row>
    <row r="56" spans="5:30" ht="19.5" customHeight="1" x14ac:dyDescent="0.5">
      <c r="E56" s="791"/>
      <c r="F56" s="792"/>
      <c r="G56" s="801"/>
      <c r="H56" s="802"/>
      <c r="I56" s="802"/>
      <c r="J56" s="802"/>
      <c r="K56" s="802"/>
      <c r="L56" s="802"/>
      <c r="M56" s="802"/>
      <c r="N56" s="802"/>
      <c r="O56" s="802"/>
      <c r="P56" s="802"/>
      <c r="Q56" s="802"/>
      <c r="R56" s="802"/>
      <c r="S56" s="802"/>
      <c r="T56" s="802"/>
      <c r="U56" s="802"/>
      <c r="V56" s="802"/>
      <c r="W56" s="802"/>
      <c r="X56" s="802"/>
      <c r="Y56" s="802"/>
      <c r="Z56" s="802"/>
      <c r="AA56" s="802"/>
      <c r="AB56" s="802"/>
      <c r="AC56" s="802"/>
      <c r="AD56" s="803"/>
    </row>
    <row r="57" spans="5:30" ht="19.5" customHeight="1" thickBot="1" x14ac:dyDescent="0.55000000000000004">
      <c r="E57" s="793"/>
      <c r="F57" s="794"/>
      <c r="G57" s="804"/>
      <c r="H57" s="805"/>
      <c r="I57" s="805"/>
      <c r="J57" s="805"/>
      <c r="K57" s="805"/>
      <c r="L57" s="805"/>
      <c r="M57" s="805"/>
      <c r="N57" s="805"/>
      <c r="O57" s="805"/>
      <c r="P57" s="805"/>
      <c r="Q57" s="805"/>
      <c r="R57" s="805"/>
      <c r="S57" s="805"/>
      <c r="T57" s="805"/>
      <c r="U57" s="805"/>
      <c r="V57" s="805"/>
      <c r="W57" s="805"/>
      <c r="X57" s="805"/>
      <c r="Y57" s="805"/>
      <c r="Z57" s="805"/>
      <c r="AA57" s="805"/>
      <c r="AB57" s="805"/>
      <c r="AC57" s="805"/>
      <c r="AD57" s="806"/>
    </row>
    <row r="58" spans="5:30" ht="19.5" customHeight="1" thickBot="1" x14ac:dyDescent="0.9">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row>
    <row r="59" spans="5:30" ht="19.5" customHeight="1" x14ac:dyDescent="0.5">
      <c r="E59" s="789" t="s">
        <v>114</v>
      </c>
      <c r="F59" s="790"/>
      <c r="G59" s="809" t="s">
        <v>125</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800"/>
    </row>
    <row r="60" spans="5:30" ht="19.5" customHeight="1" x14ac:dyDescent="0.5">
      <c r="E60" s="791"/>
      <c r="F60" s="792"/>
      <c r="G60" s="801"/>
      <c r="H60" s="802"/>
      <c r="I60" s="802"/>
      <c r="J60" s="802"/>
      <c r="K60" s="802"/>
      <c r="L60" s="802"/>
      <c r="M60" s="802"/>
      <c r="N60" s="802"/>
      <c r="O60" s="802"/>
      <c r="P60" s="802"/>
      <c r="Q60" s="802"/>
      <c r="R60" s="802"/>
      <c r="S60" s="802"/>
      <c r="T60" s="802"/>
      <c r="U60" s="802"/>
      <c r="V60" s="802"/>
      <c r="W60" s="802"/>
      <c r="X60" s="802"/>
      <c r="Y60" s="802"/>
      <c r="Z60" s="802"/>
      <c r="AA60" s="802"/>
      <c r="AB60" s="802"/>
      <c r="AC60" s="802"/>
      <c r="AD60" s="803"/>
    </row>
    <row r="61" spans="5:30" ht="19.5" customHeight="1" x14ac:dyDescent="0.5">
      <c r="E61" s="791"/>
      <c r="F61" s="792"/>
      <c r="G61" s="801"/>
      <c r="H61" s="802"/>
      <c r="I61" s="802"/>
      <c r="J61" s="802"/>
      <c r="K61" s="802"/>
      <c r="L61" s="802"/>
      <c r="M61" s="802"/>
      <c r="N61" s="802"/>
      <c r="O61" s="802"/>
      <c r="P61" s="802"/>
      <c r="Q61" s="802"/>
      <c r="R61" s="802"/>
      <c r="S61" s="802"/>
      <c r="T61" s="802"/>
      <c r="U61" s="802"/>
      <c r="V61" s="802"/>
      <c r="W61" s="802"/>
      <c r="X61" s="802"/>
      <c r="Y61" s="802"/>
      <c r="Z61" s="802"/>
      <c r="AA61" s="802"/>
      <c r="AB61" s="802"/>
      <c r="AC61" s="802"/>
      <c r="AD61" s="803"/>
    </row>
    <row r="62" spans="5:30" ht="19.5" customHeight="1" x14ac:dyDescent="0.5">
      <c r="E62" s="791"/>
      <c r="F62" s="792"/>
      <c r="G62" s="801"/>
      <c r="H62" s="802"/>
      <c r="I62" s="802"/>
      <c r="J62" s="802"/>
      <c r="K62" s="802"/>
      <c r="L62" s="802"/>
      <c r="M62" s="802"/>
      <c r="N62" s="802"/>
      <c r="O62" s="802"/>
      <c r="P62" s="802"/>
      <c r="Q62" s="802"/>
      <c r="R62" s="802"/>
      <c r="S62" s="802"/>
      <c r="T62" s="802"/>
      <c r="U62" s="802"/>
      <c r="V62" s="802"/>
      <c r="W62" s="802"/>
      <c r="X62" s="802"/>
      <c r="Y62" s="802"/>
      <c r="Z62" s="802"/>
      <c r="AA62" s="802"/>
      <c r="AB62" s="802"/>
      <c r="AC62" s="802"/>
      <c r="AD62" s="803"/>
    </row>
    <row r="63" spans="5:30" ht="19.5" customHeight="1" x14ac:dyDescent="0.5">
      <c r="E63" s="791"/>
      <c r="F63" s="792"/>
      <c r="G63" s="801"/>
      <c r="H63" s="802"/>
      <c r="I63" s="802"/>
      <c r="J63" s="802"/>
      <c r="K63" s="802"/>
      <c r="L63" s="802"/>
      <c r="M63" s="802"/>
      <c r="N63" s="802"/>
      <c r="O63" s="802"/>
      <c r="P63" s="802"/>
      <c r="Q63" s="802"/>
      <c r="R63" s="802"/>
      <c r="S63" s="802"/>
      <c r="T63" s="802"/>
      <c r="U63" s="802"/>
      <c r="V63" s="802"/>
      <c r="W63" s="802"/>
      <c r="X63" s="802"/>
      <c r="Y63" s="802"/>
      <c r="Z63" s="802"/>
      <c r="AA63" s="802"/>
      <c r="AB63" s="802"/>
      <c r="AC63" s="802"/>
      <c r="AD63" s="803"/>
    </row>
    <row r="64" spans="5:30" ht="19.5" customHeight="1" x14ac:dyDescent="0.5">
      <c r="E64" s="791"/>
      <c r="F64" s="792"/>
      <c r="G64" s="801"/>
      <c r="H64" s="802"/>
      <c r="I64" s="802"/>
      <c r="J64" s="802"/>
      <c r="K64" s="802"/>
      <c r="L64" s="802"/>
      <c r="M64" s="802"/>
      <c r="N64" s="802"/>
      <c r="O64" s="802"/>
      <c r="P64" s="802"/>
      <c r="Q64" s="802"/>
      <c r="R64" s="802"/>
      <c r="S64" s="802"/>
      <c r="T64" s="802"/>
      <c r="U64" s="802"/>
      <c r="V64" s="802"/>
      <c r="W64" s="802"/>
      <c r="X64" s="802"/>
      <c r="Y64" s="802"/>
      <c r="Z64" s="802"/>
      <c r="AA64" s="802"/>
      <c r="AB64" s="802"/>
      <c r="AC64" s="802"/>
      <c r="AD64" s="803"/>
    </row>
    <row r="65" spans="5:30" ht="19.5" customHeight="1" thickBot="1" x14ac:dyDescent="0.55000000000000004">
      <c r="E65" s="793"/>
      <c r="F65" s="794"/>
      <c r="G65" s="804"/>
      <c r="H65" s="805"/>
      <c r="I65" s="805"/>
      <c r="J65" s="805"/>
      <c r="K65" s="805"/>
      <c r="L65" s="805"/>
      <c r="M65" s="805"/>
      <c r="N65" s="805"/>
      <c r="O65" s="805"/>
      <c r="P65" s="805"/>
      <c r="Q65" s="805"/>
      <c r="R65" s="805"/>
      <c r="S65" s="805"/>
      <c r="T65" s="805"/>
      <c r="U65" s="805"/>
      <c r="V65" s="805"/>
      <c r="W65" s="805"/>
      <c r="X65" s="805"/>
      <c r="Y65" s="805"/>
      <c r="Z65" s="805"/>
      <c r="AA65" s="805"/>
      <c r="AB65" s="805"/>
      <c r="AC65" s="805"/>
      <c r="AD65" s="806"/>
    </row>
    <row r="66" spans="5:30" ht="19.5" customHeight="1" x14ac:dyDescent="0.5">
      <c r="E66" s="226"/>
      <c r="F66" s="226"/>
      <c r="G66" s="232"/>
      <c r="H66" s="232"/>
      <c r="I66" s="232"/>
      <c r="J66" s="232"/>
      <c r="K66" s="232"/>
      <c r="L66" s="232"/>
      <c r="M66" s="232"/>
      <c r="N66" s="232"/>
      <c r="O66" s="232"/>
      <c r="P66" s="232"/>
      <c r="Q66" s="232"/>
      <c r="R66" s="232"/>
      <c r="S66" s="232"/>
      <c r="T66" s="232"/>
      <c r="U66" s="232"/>
      <c r="V66" s="232"/>
      <c r="W66" s="232"/>
      <c r="X66" s="232"/>
      <c r="Y66" s="232"/>
    </row>
    <row r="67" spans="5:30" ht="19.5" customHeight="1" x14ac:dyDescent="0.5"/>
  </sheetData>
  <sheetProtection sheet="1" objects="1" scenarios="1"/>
  <mergeCells count="13">
    <mergeCell ref="G38:AD43"/>
    <mergeCell ref="G59:AD65"/>
    <mergeCell ref="G52:AD57"/>
    <mergeCell ref="E38:F43"/>
    <mergeCell ref="E52:F57"/>
    <mergeCell ref="E59:F65"/>
    <mergeCell ref="E45:F50"/>
    <mergeCell ref="G45:AD50"/>
    <mergeCell ref="A2:B2"/>
    <mergeCell ref="E31:F36"/>
    <mergeCell ref="F2:AA2"/>
    <mergeCell ref="G31:AD36"/>
    <mergeCell ref="AB2:AC2"/>
  </mergeCells>
  <pageMargins left="0.78740157480314965" right="0.59055118110236227" top="0.59055118110236227" bottom="0" header="0.31496062992125984" footer="0.31496062992125984"/>
  <pageSetup paperSize="9" scale="39" orientation="portrait" horizontalDpi="4294967293" r:id="rId1"/>
  <headerFooter alignWithMargins="0">
    <oddFooter>&amp;R© www.meesterharrie.nl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68"/>
  <sheetViews>
    <sheetView showGridLines="0" showRowColHeaders="0" zoomScale="75" zoomScaleNormal="75" workbookViewId="0">
      <selection activeCell="AB2" sqref="AB2:AD2"/>
    </sheetView>
  </sheetViews>
  <sheetFormatPr defaultColWidth="9.1796875" defaultRowHeight="18" x14ac:dyDescent="0.5"/>
  <cols>
    <col min="1" max="1" width="6.26953125" style="59" bestFit="1" customWidth="1"/>
    <col min="2" max="2" width="30.7265625" style="60" customWidth="1"/>
    <col min="3" max="3" width="4" style="59" customWidth="1"/>
    <col min="4" max="30" width="8.7265625" style="59" customWidth="1"/>
    <col min="31" max="16384" width="9.1796875" style="59"/>
  </cols>
  <sheetData>
    <row r="1" spans="1:31" ht="18.5" thickBot="1" x14ac:dyDescent="0.55000000000000004"/>
    <row r="2" spans="1:31" s="58" customFormat="1" ht="32.5" thickBot="1" x14ac:dyDescent="0.85">
      <c r="A2" s="787" t="s">
        <v>61</v>
      </c>
      <c r="B2" s="788"/>
      <c r="D2" s="210"/>
      <c r="E2" s="234">
        <v>11</v>
      </c>
      <c r="F2" s="795" t="str">
        <f>VLOOKUP($E$2,BEGINBLAD!B5:C40,2)</f>
        <v>leerling 11</v>
      </c>
      <c r="G2" s="796"/>
      <c r="H2" s="796"/>
      <c r="I2" s="796"/>
      <c r="J2" s="796"/>
      <c r="K2" s="796"/>
      <c r="L2" s="796"/>
      <c r="M2" s="796"/>
      <c r="N2" s="796"/>
      <c r="O2" s="796"/>
      <c r="P2" s="796"/>
      <c r="Q2" s="796"/>
      <c r="R2" s="796"/>
      <c r="S2" s="796"/>
      <c r="T2" s="796"/>
      <c r="U2" s="796"/>
      <c r="V2" s="796"/>
      <c r="W2" s="796"/>
      <c r="X2" s="796"/>
      <c r="Y2" s="796"/>
      <c r="Z2" s="796"/>
      <c r="AA2" s="797"/>
      <c r="AB2" s="807" t="s">
        <v>331</v>
      </c>
      <c r="AC2" s="808"/>
      <c r="AD2" s="552">
        <f>VLOOKUP($E$2,BEGINBLAD!B5:D40,3)</f>
        <v>0</v>
      </c>
    </row>
    <row r="3" spans="1:31" ht="50.15" customHeight="1" x14ac:dyDescent="0.5"/>
    <row r="4" spans="1:31" ht="19.5" customHeight="1" x14ac:dyDescent="0.5">
      <c r="A4" s="182">
        <v>1</v>
      </c>
      <c r="B4" s="183" t="str">
        <f>BEGINBLAD!C5</f>
        <v>leerling 1</v>
      </c>
    </row>
    <row r="5" spans="1:31" x14ac:dyDescent="0.5">
      <c r="A5" s="182">
        <v>2</v>
      </c>
      <c r="B5" s="183" t="str">
        <f>BEGINBLAD!C6</f>
        <v>leerling 2</v>
      </c>
      <c r="D5" s="68"/>
      <c r="E5" s="68"/>
    </row>
    <row r="6" spans="1:31" x14ac:dyDescent="0.5">
      <c r="A6" s="182">
        <v>3</v>
      </c>
      <c r="B6" s="183" t="str">
        <f>BEGINBLAD!C7</f>
        <v>leerling 3</v>
      </c>
      <c r="D6" s="68"/>
      <c r="E6" s="68"/>
    </row>
    <row r="7" spans="1:31" x14ac:dyDescent="0.5">
      <c r="A7" s="182">
        <v>4</v>
      </c>
      <c r="B7" s="183" t="str">
        <f>BEGINBLAD!C8</f>
        <v>leerling 4</v>
      </c>
      <c r="E7" s="61"/>
      <c r="F7" s="61"/>
      <c r="G7" s="61"/>
      <c r="H7" s="61"/>
      <c r="I7" s="61"/>
      <c r="J7" s="61"/>
      <c r="K7" s="61"/>
      <c r="L7" s="61"/>
      <c r="M7" s="61"/>
      <c r="N7" s="61"/>
      <c r="O7" s="61"/>
      <c r="P7" s="61"/>
      <c r="Q7" s="61"/>
      <c r="R7" s="61"/>
      <c r="S7" s="61"/>
      <c r="T7" s="61"/>
      <c r="U7" s="61"/>
    </row>
    <row r="8" spans="1:31" x14ac:dyDescent="0.5">
      <c r="A8" s="182">
        <v>5</v>
      </c>
      <c r="B8" s="183" t="str">
        <f>BEGINBLAD!C9</f>
        <v>leerling 5</v>
      </c>
      <c r="E8" s="61"/>
      <c r="F8" s="61"/>
      <c r="G8" s="61"/>
      <c r="H8" s="61"/>
      <c r="I8" s="61"/>
      <c r="J8" s="61"/>
      <c r="K8" s="61"/>
      <c r="L8" s="61"/>
      <c r="M8" s="61"/>
      <c r="N8" s="61"/>
      <c r="O8" s="61"/>
      <c r="P8" s="61"/>
      <c r="Q8" s="61"/>
      <c r="R8" s="61"/>
      <c r="S8" s="61"/>
      <c r="T8" s="61"/>
      <c r="U8" s="61"/>
    </row>
    <row r="9" spans="1:31" x14ac:dyDescent="0.5">
      <c r="A9" s="182">
        <v>6</v>
      </c>
      <c r="B9" s="183" t="str">
        <f>BEGINBLAD!C10</f>
        <v>leerling 6</v>
      </c>
      <c r="E9" s="61"/>
      <c r="F9" s="61"/>
      <c r="G9" s="61"/>
      <c r="H9" s="61"/>
      <c r="I9" s="61"/>
      <c r="J9" s="61"/>
      <c r="K9" s="61"/>
      <c r="L9" s="61"/>
      <c r="M9" s="61"/>
      <c r="N9" s="61"/>
      <c r="O9" s="61"/>
      <c r="P9" s="61"/>
      <c r="Q9" s="61"/>
      <c r="R9" s="61"/>
      <c r="S9" s="61"/>
      <c r="T9" s="61"/>
      <c r="U9" s="61"/>
    </row>
    <row r="10" spans="1:31" x14ac:dyDescent="0.5">
      <c r="A10" s="182">
        <v>7</v>
      </c>
      <c r="B10" s="183" t="str">
        <f>BEGINBLAD!C11</f>
        <v>leerling 7</v>
      </c>
      <c r="E10" s="61"/>
      <c r="F10" s="61"/>
      <c r="G10" s="61"/>
      <c r="H10" s="61"/>
      <c r="I10" s="61"/>
      <c r="J10" s="61"/>
      <c r="K10" s="61"/>
      <c r="L10" s="61"/>
      <c r="M10" s="61"/>
      <c r="N10" s="61"/>
      <c r="O10" s="61"/>
      <c r="P10" s="61"/>
      <c r="Q10" s="61"/>
      <c r="R10" s="61"/>
      <c r="S10" s="61"/>
      <c r="T10" s="61"/>
      <c r="U10" s="61"/>
    </row>
    <row r="11" spans="1:31" x14ac:dyDescent="0.5">
      <c r="A11" s="182">
        <v>8</v>
      </c>
      <c r="B11" s="183" t="str">
        <f>BEGINBLAD!C12</f>
        <v>leerling 8</v>
      </c>
      <c r="E11" s="61"/>
      <c r="F11" s="61"/>
      <c r="G11" s="61"/>
      <c r="H11" s="61"/>
      <c r="I11" s="61"/>
      <c r="J11" s="61"/>
      <c r="K11" s="61"/>
      <c r="L11" s="61"/>
      <c r="M11" s="61"/>
      <c r="N11" s="61"/>
      <c r="O11" s="61"/>
      <c r="P11" s="61"/>
      <c r="Q11" s="61"/>
      <c r="R11" s="61"/>
      <c r="S11" s="61"/>
      <c r="T11" s="61"/>
      <c r="U11" s="61"/>
    </row>
    <row r="12" spans="1:31" x14ac:dyDescent="0.5">
      <c r="A12" s="182">
        <v>9</v>
      </c>
      <c r="B12" s="183" t="str">
        <f>BEGINBLAD!C13</f>
        <v>leerling 9</v>
      </c>
      <c r="E12" s="61"/>
      <c r="F12" s="61"/>
      <c r="G12" s="61"/>
      <c r="H12" s="219" t="s">
        <v>47</v>
      </c>
      <c r="I12" s="220" t="s">
        <v>48</v>
      </c>
      <c r="J12" s="221" t="s">
        <v>49</v>
      </c>
      <c r="K12" s="221" t="s">
        <v>106</v>
      </c>
      <c r="L12" s="219" t="s">
        <v>53</v>
      </c>
      <c r="M12" s="220" t="s">
        <v>54</v>
      </c>
      <c r="N12" s="221" t="s">
        <v>55</v>
      </c>
      <c r="O12" s="221" t="s">
        <v>106</v>
      </c>
      <c r="P12" s="219" t="s">
        <v>50</v>
      </c>
      <c r="Q12" s="220" t="s">
        <v>51</v>
      </c>
      <c r="R12" s="221" t="s">
        <v>52</v>
      </c>
      <c r="S12" s="221" t="s">
        <v>106</v>
      </c>
      <c r="T12" s="219" t="s">
        <v>56</v>
      </c>
      <c r="U12" s="220" t="s">
        <v>57</v>
      </c>
      <c r="V12" s="221" t="s">
        <v>58</v>
      </c>
      <c r="W12" s="221" t="s">
        <v>106</v>
      </c>
      <c r="X12" s="219" t="s">
        <v>103</v>
      </c>
      <c r="Y12" s="220" t="s">
        <v>104</v>
      </c>
      <c r="Z12" s="221" t="s">
        <v>105</v>
      </c>
      <c r="AA12" s="221" t="s">
        <v>106</v>
      </c>
      <c r="AB12" s="60" t="s">
        <v>107</v>
      </c>
      <c r="AC12" s="60"/>
    </row>
    <row r="13" spans="1:31" x14ac:dyDescent="0.5">
      <c r="A13" s="182">
        <v>10</v>
      </c>
      <c r="B13" s="183" t="str">
        <f>BEGINBLAD!C14</f>
        <v>leerling 10</v>
      </c>
      <c r="E13" s="69"/>
      <c r="F13" s="69"/>
      <c r="G13" s="69"/>
      <c r="H13" s="214">
        <f>VLOOKUP($E$2,'NIVEAU WAARDE - vorig jaar'!$B$9:$H$44,3)</f>
        <v>3.6</v>
      </c>
      <c r="I13" s="214">
        <f>VLOOKUP($E$2,'NIVEAU WAARDE - 1e toetsperiode'!$B$9:$H$44,3)</f>
        <v>3.2</v>
      </c>
      <c r="J13" s="214">
        <f>VLOOKUP($E$2,'NIVEAU WAARDE - 2e toetsperiode'!$B$9:$H$44,3)</f>
        <v>0</v>
      </c>
      <c r="K13" s="214">
        <v>5</v>
      </c>
      <c r="L13" s="214">
        <f>VLOOKUP($E$2,'NIVEAU WAARDE - vorig jaar'!$B$9:$H$44,4)</f>
        <v>3.2</v>
      </c>
      <c r="M13" s="214">
        <f>VLOOKUP($E$2,'NIVEAU WAARDE - 1e toetsperiode'!$B$9:$H$44,4)</f>
        <v>4</v>
      </c>
      <c r="N13" s="214">
        <f>VLOOKUP($E$2,'NIVEAU WAARDE - 2e toetsperiode'!$B$9:$H$44,4)</f>
        <v>2</v>
      </c>
      <c r="O13" s="214">
        <v>5</v>
      </c>
      <c r="P13" s="214">
        <f>VLOOKUP($E$2,'NIVEAU WAARDE - vorig jaar'!$B$9:$H$44,5)</f>
        <v>3.8</v>
      </c>
      <c r="Q13" s="214">
        <f>VLOOKUP($E$2,'NIVEAU WAARDE - 1e toetsperiode'!$B$9:$H$44,5)</f>
        <v>3.2</v>
      </c>
      <c r="R13" s="214">
        <f>VLOOKUP($E$2,'NIVEAU WAARDE - 2e toetsperiode'!$B$9:$H$44,5)</f>
        <v>2.2999999999999998</v>
      </c>
      <c r="S13" s="214">
        <v>5</v>
      </c>
      <c r="T13" s="214">
        <f>VLOOKUP($E$2,'NIVEAU WAARDE - vorig jaar'!$B$9:$H$44,6)</f>
        <v>2.7</v>
      </c>
      <c r="U13" s="214">
        <f>VLOOKUP($E$2,'NIVEAU WAARDE - 1e toetsperiode'!$B$9:$H$44,6)</f>
        <v>3.1</v>
      </c>
      <c r="V13" s="214">
        <f>VLOOKUP($E$2,'NIVEAU WAARDE - 2e toetsperiode'!$B$9:$H$44,6)</f>
        <v>3.6</v>
      </c>
      <c r="W13" s="214">
        <v>5</v>
      </c>
      <c r="X13" s="214">
        <f>VLOOKUP($E$2,'NIVEAU WAARDE - vorig jaar'!$B$9:$H$44,7)</f>
        <v>3.5</v>
      </c>
      <c r="Y13" s="214">
        <f>VLOOKUP($E$2,'NIVEAU WAARDE - 1e toetsperiode'!$B$9:$H$44,7)</f>
        <v>3</v>
      </c>
      <c r="Z13" s="214">
        <f>VLOOKUP($E$2,'NIVEAU WAARDE - 2e toetsperiode'!$B$9:$H$44,7)</f>
        <v>0</v>
      </c>
      <c r="AA13" s="215">
        <v>5</v>
      </c>
      <c r="AB13" s="217">
        <f>AD13/AC13</f>
        <v>3.1692307692307695</v>
      </c>
      <c r="AC13" s="217">
        <f>COUNTIF(H13:AA13,"&gt;0")-5</f>
        <v>13</v>
      </c>
      <c r="AD13" s="218">
        <f>H13+I13+J13+L13+M13+N13+P13+Q13+R13+T13+U13+V13+X13+Y13+Z13</f>
        <v>41.2</v>
      </c>
      <c r="AE13" s="213"/>
    </row>
    <row r="14" spans="1:31" x14ac:dyDescent="0.5">
      <c r="A14" s="182">
        <v>11</v>
      </c>
      <c r="B14" s="183" t="str">
        <f>BEGINBLAD!C15</f>
        <v>leerling 11</v>
      </c>
      <c r="H14" s="60">
        <f>H13*2</f>
        <v>7.2</v>
      </c>
      <c r="I14" s="60">
        <f t="shared" ref="I14:AB14" si="0">I13*2</f>
        <v>6.4</v>
      </c>
      <c r="J14" s="60">
        <f t="shared" si="0"/>
        <v>0</v>
      </c>
      <c r="K14" s="60">
        <f t="shared" si="0"/>
        <v>10</v>
      </c>
      <c r="L14" s="60">
        <f t="shared" si="0"/>
        <v>6.4</v>
      </c>
      <c r="M14" s="60">
        <f t="shared" si="0"/>
        <v>8</v>
      </c>
      <c r="N14" s="60">
        <f t="shared" si="0"/>
        <v>4</v>
      </c>
      <c r="O14" s="60">
        <f t="shared" si="0"/>
        <v>10</v>
      </c>
      <c r="P14" s="60">
        <f t="shared" si="0"/>
        <v>7.6</v>
      </c>
      <c r="Q14" s="60">
        <f t="shared" si="0"/>
        <v>6.4</v>
      </c>
      <c r="R14" s="60">
        <f t="shared" si="0"/>
        <v>4.5999999999999996</v>
      </c>
      <c r="S14" s="60">
        <f t="shared" si="0"/>
        <v>10</v>
      </c>
      <c r="T14" s="60">
        <f t="shared" si="0"/>
        <v>5.4</v>
      </c>
      <c r="U14" s="60">
        <f t="shared" si="0"/>
        <v>6.2</v>
      </c>
      <c r="V14" s="60">
        <f t="shared" si="0"/>
        <v>7.2</v>
      </c>
      <c r="W14" s="60">
        <f t="shared" si="0"/>
        <v>10</v>
      </c>
      <c r="X14" s="60">
        <f t="shared" si="0"/>
        <v>7</v>
      </c>
      <c r="Y14" s="60">
        <f t="shared" si="0"/>
        <v>6</v>
      </c>
      <c r="Z14" s="60">
        <f t="shared" si="0"/>
        <v>0</v>
      </c>
      <c r="AA14" s="60">
        <f t="shared" si="0"/>
        <v>10</v>
      </c>
      <c r="AB14" s="218">
        <f t="shared" si="0"/>
        <v>6.338461538461539</v>
      </c>
      <c r="AC14" s="60"/>
      <c r="AD14" s="60"/>
    </row>
    <row r="15" spans="1:31" x14ac:dyDescent="0.5">
      <c r="A15" s="182">
        <v>12</v>
      </c>
      <c r="B15" s="183" t="str">
        <f>BEGINBLAD!C16</f>
        <v>leerling 12</v>
      </c>
    </row>
    <row r="16" spans="1:31" x14ac:dyDescent="0.5">
      <c r="A16" s="182">
        <v>13</v>
      </c>
      <c r="B16" s="183" t="str">
        <f>BEGINBLAD!C17</f>
        <v>leerling 13</v>
      </c>
      <c r="E16" s="61"/>
      <c r="F16" s="61"/>
      <c r="G16" s="61"/>
      <c r="H16" s="61"/>
      <c r="I16" s="61"/>
      <c r="J16" s="61"/>
      <c r="K16" s="61"/>
      <c r="L16" s="61"/>
      <c r="M16" s="61"/>
      <c r="N16" s="61"/>
      <c r="O16" s="61"/>
      <c r="P16" s="61"/>
      <c r="Q16" s="61"/>
      <c r="R16" s="61"/>
      <c r="S16" s="61"/>
      <c r="T16" s="61"/>
      <c r="U16" s="61"/>
    </row>
    <row r="17" spans="1:30" x14ac:dyDescent="0.5">
      <c r="A17" s="182">
        <v>14</v>
      </c>
      <c r="B17" s="183" t="str">
        <f>BEGINBLAD!C18</f>
        <v>leerling 14</v>
      </c>
      <c r="E17" s="61"/>
      <c r="F17" s="61"/>
      <c r="G17" s="61"/>
      <c r="H17" s="61"/>
      <c r="I17" s="61"/>
      <c r="J17" s="61"/>
      <c r="K17" s="61"/>
      <c r="L17" s="61"/>
      <c r="M17" s="61"/>
      <c r="N17" s="61"/>
      <c r="O17" s="61"/>
      <c r="P17" s="61"/>
      <c r="Q17" s="61"/>
      <c r="R17" s="61"/>
      <c r="S17" s="61"/>
      <c r="T17" s="61"/>
      <c r="U17" s="61"/>
    </row>
    <row r="18" spans="1:30" x14ac:dyDescent="0.5">
      <c r="A18" s="182">
        <v>15</v>
      </c>
      <c r="B18" s="183" t="str">
        <f>BEGINBLAD!C19</f>
        <v>leerling 15</v>
      </c>
      <c r="E18" s="62"/>
      <c r="F18" s="61"/>
      <c r="G18" s="61"/>
      <c r="H18" s="61"/>
      <c r="I18" s="61"/>
      <c r="J18" s="61"/>
      <c r="K18" s="61"/>
      <c r="L18" s="61"/>
      <c r="M18" s="61"/>
      <c r="N18" s="61"/>
      <c r="O18" s="61"/>
      <c r="P18" s="61"/>
      <c r="Q18" s="61"/>
      <c r="R18" s="61"/>
      <c r="S18" s="61"/>
      <c r="T18" s="61"/>
      <c r="U18" s="61"/>
    </row>
    <row r="19" spans="1:30" x14ac:dyDescent="0.5">
      <c r="A19" s="182">
        <v>16</v>
      </c>
      <c r="B19" s="183" t="str">
        <f>BEGINBLAD!C20</f>
        <v>leerling 16</v>
      </c>
      <c r="E19" s="63"/>
      <c r="F19" s="63"/>
      <c r="G19" s="63"/>
      <c r="H19" s="63"/>
      <c r="I19" s="61"/>
      <c r="J19" s="63"/>
      <c r="K19" s="63"/>
      <c r="L19" s="61"/>
      <c r="M19" s="61"/>
      <c r="N19" s="63"/>
      <c r="O19" s="63"/>
      <c r="P19" s="61"/>
      <c r="Q19" s="61"/>
      <c r="R19" s="61"/>
      <c r="S19" s="61"/>
      <c r="T19" s="61"/>
      <c r="U19" s="61"/>
    </row>
    <row r="20" spans="1:30" x14ac:dyDescent="0.5">
      <c r="A20" s="182">
        <v>17</v>
      </c>
      <c r="B20" s="183" t="str">
        <f>BEGINBLAD!C21</f>
        <v>leerling 17</v>
      </c>
      <c r="E20" s="64"/>
      <c r="F20" s="64"/>
      <c r="G20" s="65"/>
      <c r="H20" s="65"/>
      <c r="I20" s="61"/>
      <c r="J20" s="64"/>
      <c r="K20" s="64"/>
      <c r="L20" s="61"/>
      <c r="M20" s="61"/>
      <c r="N20" s="65"/>
      <c r="O20" s="65"/>
      <c r="P20" s="61"/>
      <c r="Q20" s="61"/>
      <c r="R20" s="61"/>
      <c r="S20" s="61"/>
      <c r="T20" s="61"/>
      <c r="U20" s="61"/>
    </row>
    <row r="21" spans="1:30" x14ac:dyDescent="0.5">
      <c r="A21" s="182">
        <v>18</v>
      </c>
      <c r="B21" s="183" t="str">
        <f>BEGINBLAD!C22</f>
        <v>leerling 18</v>
      </c>
      <c r="E21" s="61"/>
      <c r="F21" s="61"/>
      <c r="G21" s="61"/>
      <c r="H21" s="61"/>
      <c r="I21" s="61"/>
      <c r="J21" s="61"/>
      <c r="K21" s="61"/>
      <c r="L21" s="61"/>
      <c r="M21" s="61"/>
      <c r="N21" s="61"/>
      <c r="O21" s="61"/>
      <c r="P21" s="61"/>
      <c r="Q21" s="61"/>
      <c r="R21" s="61"/>
      <c r="S21" s="61"/>
      <c r="T21" s="61"/>
      <c r="U21" s="61"/>
    </row>
    <row r="22" spans="1:30" x14ac:dyDescent="0.5">
      <c r="A22" s="182">
        <v>19</v>
      </c>
      <c r="B22" s="183" t="str">
        <f>BEGINBLAD!C23</f>
        <v>leerling 19</v>
      </c>
      <c r="E22" s="61"/>
      <c r="F22" s="61"/>
      <c r="G22" s="61"/>
      <c r="H22" s="61"/>
      <c r="I22" s="61"/>
      <c r="J22" s="61"/>
      <c r="K22" s="61"/>
      <c r="L22" s="61"/>
      <c r="M22" s="61"/>
      <c r="N22" s="61"/>
      <c r="O22" s="61"/>
      <c r="P22" s="61"/>
      <c r="Q22" s="61"/>
      <c r="R22" s="61"/>
      <c r="S22" s="61"/>
      <c r="T22" s="61"/>
      <c r="U22" s="61"/>
    </row>
    <row r="23" spans="1:30" ht="15" customHeight="1" x14ac:dyDescent="0.5">
      <c r="A23" s="182">
        <v>20</v>
      </c>
      <c r="B23" s="183" t="str">
        <f>BEGINBLAD!C24</f>
        <v>leerling 20</v>
      </c>
    </row>
    <row r="24" spans="1:30" x14ac:dyDescent="0.5">
      <c r="A24" s="182">
        <v>21</v>
      </c>
      <c r="B24" s="183" t="str">
        <f>BEGINBLAD!C25</f>
        <v>leerling 21</v>
      </c>
    </row>
    <row r="25" spans="1:30" x14ac:dyDescent="0.5">
      <c r="A25" s="182">
        <v>22</v>
      </c>
      <c r="B25" s="183" t="str">
        <f>BEGINBLAD!C26</f>
        <v>leerling 22</v>
      </c>
    </row>
    <row r="26" spans="1:30" x14ac:dyDescent="0.5">
      <c r="A26" s="182">
        <v>23</v>
      </c>
      <c r="B26" s="183" t="str">
        <f>BEGINBLAD!C27</f>
        <v>leerling 23</v>
      </c>
    </row>
    <row r="27" spans="1:30" x14ac:dyDescent="0.5">
      <c r="A27" s="182">
        <v>24</v>
      </c>
      <c r="B27" s="183" t="str">
        <f>BEGINBLAD!C28</f>
        <v>leerling 24</v>
      </c>
    </row>
    <row r="28" spans="1:30" ht="15.75" customHeight="1" x14ac:dyDescent="0.5">
      <c r="A28" s="182">
        <v>25</v>
      </c>
      <c r="B28" s="183" t="str">
        <f>BEGINBLAD!C29</f>
        <v>leerling 25</v>
      </c>
    </row>
    <row r="29" spans="1:30" x14ac:dyDescent="0.5">
      <c r="A29" s="182">
        <v>26</v>
      </c>
      <c r="B29" s="183" t="str">
        <f>BEGINBLAD!C30</f>
        <v>leerling 26</v>
      </c>
    </row>
    <row r="30" spans="1:30" ht="18.5" thickBot="1" x14ac:dyDescent="0.55000000000000004">
      <c r="A30" s="182">
        <v>27</v>
      </c>
      <c r="B30" s="183">
        <f>BEGINBLAD!C31</f>
        <v>0</v>
      </c>
    </row>
    <row r="31" spans="1:30" x14ac:dyDescent="0.5">
      <c r="A31" s="182">
        <v>28</v>
      </c>
      <c r="B31" s="183">
        <f>BEGINBLAD!C32</f>
        <v>0</v>
      </c>
      <c r="E31" s="789" t="s">
        <v>112</v>
      </c>
      <c r="F31" s="790"/>
      <c r="G31" s="799" t="s">
        <v>108</v>
      </c>
      <c r="H31" s="799"/>
      <c r="I31" s="799"/>
      <c r="J31" s="799"/>
      <c r="K31" s="799"/>
      <c r="L31" s="799"/>
      <c r="M31" s="799"/>
      <c r="N31" s="799"/>
      <c r="O31" s="799"/>
      <c r="P31" s="799"/>
      <c r="Q31" s="799"/>
      <c r="R31" s="799"/>
      <c r="S31" s="799"/>
      <c r="T31" s="799"/>
      <c r="U31" s="799"/>
      <c r="V31" s="799"/>
      <c r="W31" s="799"/>
      <c r="X31" s="799"/>
      <c r="Y31" s="799"/>
      <c r="Z31" s="799"/>
      <c r="AA31" s="799"/>
      <c r="AB31" s="799"/>
      <c r="AC31" s="799"/>
      <c r="AD31" s="800"/>
    </row>
    <row r="32" spans="1:30" x14ac:dyDescent="0.5">
      <c r="A32" s="182">
        <v>29</v>
      </c>
      <c r="B32" s="183">
        <f>BEGINBLAD!C33</f>
        <v>0</v>
      </c>
      <c r="E32" s="791"/>
      <c r="F32" s="79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3"/>
    </row>
    <row r="33" spans="1:30" x14ac:dyDescent="0.5">
      <c r="A33" s="182">
        <v>30</v>
      </c>
      <c r="B33" s="183">
        <f>BEGINBLAD!C34</f>
        <v>0</v>
      </c>
      <c r="E33" s="791"/>
      <c r="F33" s="79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3"/>
    </row>
    <row r="34" spans="1:30" x14ac:dyDescent="0.5">
      <c r="A34" s="182">
        <v>31</v>
      </c>
      <c r="B34" s="183">
        <f>BEGINBLAD!C35</f>
        <v>0</v>
      </c>
      <c r="E34" s="791"/>
      <c r="F34" s="79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803"/>
    </row>
    <row r="35" spans="1:30" x14ac:dyDescent="0.5">
      <c r="A35" s="182">
        <v>32</v>
      </c>
      <c r="B35" s="183">
        <f>BEGINBLAD!C36</f>
        <v>0</v>
      </c>
      <c r="E35" s="791"/>
      <c r="F35" s="79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3"/>
    </row>
    <row r="36" spans="1:30" ht="18.5" thickBot="1" x14ac:dyDescent="0.55000000000000004">
      <c r="A36" s="182">
        <v>33</v>
      </c>
      <c r="B36" s="183">
        <f>BEGINBLAD!C37</f>
        <v>0</v>
      </c>
      <c r="E36" s="793"/>
      <c r="F36" s="794"/>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6"/>
    </row>
    <row r="37" spans="1:30" ht="19.5" customHeight="1" thickBot="1" x14ac:dyDescent="0.9">
      <c r="A37" s="182">
        <v>34</v>
      </c>
      <c r="B37" s="183">
        <f>BEGINBLAD!C38</f>
        <v>0</v>
      </c>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row>
    <row r="38" spans="1:30" ht="19.5" customHeight="1" x14ac:dyDescent="0.5">
      <c r="A38" s="182">
        <v>35</v>
      </c>
      <c r="B38" s="183">
        <f>BEGINBLAD!C39</f>
        <v>0</v>
      </c>
      <c r="E38" s="789" t="s">
        <v>111</v>
      </c>
      <c r="F38" s="790"/>
      <c r="G38" s="799" t="s">
        <v>109</v>
      </c>
      <c r="H38" s="799"/>
      <c r="I38" s="799"/>
      <c r="J38" s="799"/>
      <c r="K38" s="799"/>
      <c r="L38" s="799"/>
      <c r="M38" s="799"/>
      <c r="N38" s="799"/>
      <c r="O38" s="799"/>
      <c r="P38" s="799"/>
      <c r="Q38" s="799"/>
      <c r="R38" s="799"/>
      <c r="S38" s="799"/>
      <c r="T38" s="799"/>
      <c r="U38" s="799"/>
      <c r="V38" s="799"/>
      <c r="W38" s="799"/>
      <c r="X38" s="799"/>
      <c r="Y38" s="799"/>
      <c r="Z38" s="799"/>
      <c r="AA38" s="799"/>
      <c r="AB38" s="799"/>
      <c r="AC38" s="799"/>
      <c r="AD38" s="800"/>
    </row>
    <row r="39" spans="1:30" ht="19.5" customHeight="1" x14ac:dyDescent="0.5">
      <c r="A39" s="182">
        <v>36</v>
      </c>
      <c r="B39" s="183">
        <f>BEGINBLAD!C40</f>
        <v>0</v>
      </c>
      <c r="E39" s="791"/>
      <c r="F39" s="79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3"/>
    </row>
    <row r="40" spans="1:30" ht="19.5" customHeight="1" x14ac:dyDescent="0.5">
      <c r="E40" s="791"/>
      <c r="F40" s="79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3"/>
    </row>
    <row r="41" spans="1:30" ht="19.5" customHeight="1" x14ac:dyDescent="0.5">
      <c r="A41" s="66"/>
      <c r="B41" s="67"/>
      <c r="E41" s="791"/>
      <c r="F41" s="79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3"/>
    </row>
    <row r="42" spans="1:30" ht="19.5" customHeight="1" x14ac:dyDescent="0.5">
      <c r="A42" s="66"/>
      <c r="B42" s="67"/>
      <c r="E42" s="791"/>
      <c r="F42" s="79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row>
    <row r="43" spans="1:30" ht="19.5" customHeight="1" thickBot="1" x14ac:dyDescent="0.55000000000000004">
      <c r="E43" s="793"/>
      <c r="F43" s="794"/>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6"/>
    </row>
    <row r="44" spans="1:30" ht="19.5" customHeight="1" thickBot="1" x14ac:dyDescent="0.9">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row>
    <row r="45" spans="1:30" ht="19.5" customHeight="1" x14ac:dyDescent="0.5">
      <c r="E45" s="789" t="s">
        <v>110</v>
      </c>
      <c r="F45" s="790"/>
      <c r="G45" s="799" t="s">
        <v>115</v>
      </c>
      <c r="H45" s="799"/>
      <c r="I45" s="799"/>
      <c r="J45" s="799"/>
      <c r="K45" s="799"/>
      <c r="L45" s="799"/>
      <c r="M45" s="799"/>
      <c r="N45" s="799"/>
      <c r="O45" s="799"/>
      <c r="P45" s="799"/>
      <c r="Q45" s="799"/>
      <c r="R45" s="799"/>
      <c r="S45" s="799"/>
      <c r="T45" s="799"/>
      <c r="U45" s="799"/>
      <c r="V45" s="799"/>
      <c r="W45" s="799"/>
      <c r="X45" s="799"/>
      <c r="Y45" s="799"/>
      <c r="Z45" s="799"/>
      <c r="AA45" s="799"/>
      <c r="AB45" s="799"/>
      <c r="AC45" s="799"/>
      <c r="AD45" s="800"/>
    </row>
    <row r="46" spans="1:30" ht="19.5" customHeight="1" x14ac:dyDescent="0.5">
      <c r="E46" s="791"/>
      <c r="F46" s="79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3"/>
    </row>
    <row r="47" spans="1:30" ht="19.5" customHeight="1" x14ac:dyDescent="0.5">
      <c r="E47" s="791"/>
      <c r="F47" s="79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3"/>
    </row>
    <row r="48" spans="1:30" ht="19.5" customHeight="1" x14ac:dyDescent="0.5">
      <c r="E48" s="791"/>
      <c r="F48" s="79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3"/>
    </row>
    <row r="49" spans="5:30" ht="19.5" customHeight="1" x14ac:dyDescent="0.5">
      <c r="E49" s="791"/>
      <c r="F49" s="792"/>
      <c r="G49" s="802"/>
      <c r="H49" s="802"/>
      <c r="I49" s="802"/>
      <c r="J49" s="802"/>
      <c r="K49" s="802"/>
      <c r="L49" s="802"/>
      <c r="M49" s="802"/>
      <c r="N49" s="802"/>
      <c r="O49" s="802"/>
      <c r="P49" s="802"/>
      <c r="Q49" s="802"/>
      <c r="R49" s="802"/>
      <c r="S49" s="802"/>
      <c r="T49" s="802"/>
      <c r="U49" s="802"/>
      <c r="V49" s="802"/>
      <c r="W49" s="802"/>
      <c r="X49" s="802"/>
      <c r="Y49" s="802"/>
      <c r="Z49" s="802"/>
      <c r="AA49" s="802"/>
      <c r="AB49" s="802"/>
      <c r="AC49" s="802"/>
      <c r="AD49" s="803"/>
    </row>
    <row r="50" spans="5:30" ht="19.5" customHeight="1" thickBot="1" x14ac:dyDescent="0.55000000000000004">
      <c r="E50" s="793"/>
      <c r="F50" s="794"/>
      <c r="G50" s="805"/>
      <c r="H50" s="805"/>
      <c r="I50" s="805"/>
      <c r="J50" s="805"/>
      <c r="K50" s="805"/>
      <c r="L50" s="805"/>
      <c r="M50" s="805"/>
      <c r="N50" s="805"/>
      <c r="O50" s="805"/>
      <c r="P50" s="805"/>
      <c r="Q50" s="805"/>
      <c r="R50" s="805"/>
      <c r="S50" s="805"/>
      <c r="T50" s="805"/>
      <c r="U50" s="805"/>
      <c r="V50" s="805"/>
      <c r="W50" s="805"/>
      <c r="X50" s="805"/>
      <c r="Y50" s="805"/>
      <c r="Z50" s="805"/>
      <c r="AA50" s="805"/>
      <c r="AB50" s="805"/>
      <c r="AC50" s="805"/>
      <c r="AD50" s="806"/>
    </row>
    <row r="51" spans="5:30" ht="19.5" customHeight="1" thickBot="1" x14ac:dyDescent="0.9">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row>
    <row r="52" spans="5:30" ht="19.5" customHeight="1" x14ac:dyDescent="0.5">
      <c r="E52" s="789" t="s">
        <v>113</v>
      </c>
      <c r="F52" s="790"/>
      <c r="G52" s="799" t="s">
        <v>116</v>
      </c>
      <c r="H52" s="799"/>
      <c r="I52" s="799"/>
      <c r="J52" s="799"/>
      <c r="K52" s="799"/>
      <c r="L52" s="799"/>
      <c r="M52" s="799"/>
      <c r="N52" s="799"/>
      <c r="O52" s="799"/>
      <c r="P52" s="799"/>
      <c r="Q52" s="799"/>
      <c r="R52" s="799"/>
      <c r="S52" s="799"/>
      <c r="T52" s="799"/>
      <c r="U52" s="799"/>
      <c r="V52" s="799"/>
      <c r="W52" s="799"/>
      <c r="X52" s="799"/>
      <c r="Y52" s="799"/>
      <c r="Z52" s="799"/>
      <c r="AA52" s="799"/>
      <c r="AB52" s="799"/>
      <c r="AC52" s="799"/>
      <c r="AD52" s="800"/>
    </row>
    <row r="53" spans="5:30" ht="19.5" customHeight="1" x14ac:dyDescent="0.5">
      <c r="E53" s="791"/>
      <c r="F53" s="79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3"/>
    </row>
    <row r="54" spans="5:30" ht="19.5" customHeight="1" x14ac:dyDescent="0.5">
      <c r="E54" s="791"/>
      <c r="F54" s="79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3"/>
    </row>
    <row r="55" spans="5:30" ht="19.5" customHeight="1" x14ac:dyDescent="0.5">
      <c r="E55" s="791"/>
      <c r="F55" s="79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3"/>
    </row>
    <row r="56" spans="5:30" ht="19.5" customHeight="1" x14ac:dyDescent="0.5">
      <c r="E56" s="791"/>
      <c r="F56" s="792"/>
      <c r="G56" s="802"/>
      <c r="H56" s="802"/>
      <c r="I56" s="802"/>
      <c r="J56" s="802"/>
      <c r="K56" s="802"/>
      <c r="L56" s="802"/>
      <c r="M56" s="802"/>
      <c r="N56" s="802"/>
      <c r="O56" s="802"/>
      <c r="P56" s="802"/>
      <c r="Q56" s="802"/>
      <c r="R56" s="802"/>
      <c r="S56" s="802"/>
      <c r="T56" s="802"/>
      <c r="U56" s="802"/>
      <c r="V56" s="802"/>
      <c r="W56" s="802"/>
      <c r="X56" s="802"/>
      <c r="Y56" s="802"/>
      <c r="Z56" s="802"/>
      <c r="AA56" s="802"/>
      <c r="AB56" s="802"/>
      <c r="AC56" s="802"/>
      <c r="AD56" s="803"/>
    </row>
    <row r="57" spans="5:30" ht="19.5" customHeight="1" thickBot="1" x14ac:dyDescent="0.55000000000000004">
      <c r="E57" s="793"/>
      <c r="F57" s="794"/>
      <c r="G57" s="805"/>
      <c r="H57" s="805"/>
      <c r="I57" s="805"/>
      <c r="J57" s="805"/>
      <c r="K57" s="805"/>
      <c r="L57" s="805"/>
      <c r="M57" s="805"/>
      <c r="N57" s="805"/>
      <c r="O57" s="805"/>
      <c r="P57" s="805"/>
      <c r="Q57" s="805"/>
      <c r="R57" s="805"/>
      <c r="S57" s="805"/>
      <c r="T57" s="805"/>
      <c r="U57" s="805"/>
      <c r="V57" s="805"/>
      <c r="W57" s="805"/>
      <c r="X57" s="805"/>
      <c r="Y57" s="805"/>
      <c r="Z57" s="805"/>
      <c r="AA57" s="805"/>
      <c r="AB57" s="805"/>
      <c r="AC57" s="805"/>
      <c r="AD57" s="806"/>
    </row>
    <row r="58" spans="5:30" ht="19.5" customHeight="1" thickBot="1" x14ac:dyDescent="0.9">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row>
    <row r="59" spans="5:30" ht="19.5" customHeight="1" x14ac:dyDescent="0.5">
      <c r="E59" s="789" t="s">
        <v>114</v>
      </c>
      <c r="F59" s="790"/>
      <c r="G59" s="819" t="s">
        <v>125</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800"/>
    </row>
    <row r="60" spans="5:30" ht="19.5" customHeight="1" x14ac:dyDescent="0.5">
      <c r="E60" s="791"/>
      <c r="F60" s="792"/>
      <c r="G60" s="802"/>
      <c r="H60" s="802"/>
      <c r="I60" s="802"/>
      <c r="J60" s="802"/>
      <c r="K60" s="802"/>
      <c r="L60" s="802"/>
      <c r="M60" s="802"/>
      <c r="N60" s="802"/>
      <c r="O60" s="802"/>
      <c r="P60" s="802"/>
      <c r="Q60" s="802"/>
      <c r="R60" s="802"/>
      <c r="S60" s="802"/>
      <c r="T60" s="802"/>
      <c r="U60" s="802"/>
      <c r="V60" s="802"/>
      <c r="W60" s="802"/>
      <c r="X60" s="802"/>
      <c r="Y60" s="802"/>
      <c r="Z60" s="802"/>
      <c r="AA60" s="802"/>
      <c r="AB60" s="802"/>
      <c r="AC60" s="802"/>
      <c r="AD60" s="803"/>
    </row>
    <row r="61" spans="5:30" ht="19.5" customHeight="1" x14ac:dyDescent="0.5">
      <c r="E61" s="791"/>
      <c r="F61" s="79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3"/>
    </row>
    <row r="62" spans="5:30" ht="19.5" customHeight="1" x14ac:dyDescent="0.5">
      <c r="E62" s="791"/>
      <c r="F62" s="79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3"/>
    </row>
    <row r="63" spans="5:30" ht="19.5" customHeight="1" x14ac:dyDescent="0.5">
      <c r="E63" s="791"/>
      <c r="F63" s="79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3"/>
    </row>
    <row r="64" spans="5:30" ht="19.5" customHeight="1" x14ac:dyDescent="0.5">
      <c r="E64" s="791"/>
      <c r="F64" s="79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3"/>
    </row>
    <row r="65" spans="5:30" ht="19.5" customHeight="1" thickBot="1" x14ac:dyDescent="0.55000000000000004">
      <c r="E65" s="793"/>
      <c r="F65" s="794"/>
      <c r="G65" s="805"/>
      <c r="H65" s="805"/>
      <c r="I65" s="805"/>
      <c r="J65" s="805"/>
      <c r="K65" s="805"/>
      <c r="L65" s="805"/>
      <c r="M65" s="805"/>
      <c r="N65" s="805"/>
      <c r="O65" s="805"/>
      <c r="P65" s="805"/>
      <c r="Q65" s="805"/>
      <c r="R65" s="805"/>
      <c r="S65" s="805"/>
      <c r="T65" s="805"/>
      <c r="U65" s="805"/>
      <c r="V65" s="805"/>
      <c r="W65" s="805"/>
      <c r="X65" s="805"/>
      <c r="Y65" s="805"/>
      <c r="Z65" s="805"/>
      <c r="AA65" s="805"/>
      <c r="AB65" s="805"/>
      <c r="AC65" s="805"/>
      <c r="AD65" s="806"/>
    </row>
    <row r="66" spans="5:30" ht="19.5" customHeight="1" x14ac:dyDescent="0.5">
      <c r="E66" s="226"/>
      <c r="F66" s="226"/>
      <c r="G66" s="225"/>
      <c r="H66" s="225"/>
      <c r="I66" s="225"/>
      <c r="J66" s="225"/>
      <c r="K66" s="225"/>
      <c r="L66" s="225"/>
      <c r="M66" s="225"/>
      <c r="N66" s="225"/>
      <c r="O66" s="225"/>
      <c r="P66" s="225"/>
      <c r="Q66" s="225"/>
      <c r="R66" s="225"/>
      <c r="S66" s="225"/>
      <c r="T66" s="225"/>
      <c r="U66" s="225"/>
      <c r="V66" s="225"/>
      <c r="W66" s="225"/>
      <c r="X66" s="225"/>
      <c r="Y66" s="225"/>
      <c r="Z66" s="225"/>
      <c r="AA66" s="225"/>
      <c r="AB66" s="225"/>
      <c r="AC66" s="225"/>
      <c r="AD66" s="225"/>
    </row>
    <row r="67" spans="5:30" ht="19.5" customHeight="1" x14ac:dyDescent="0.5"/>
    <row r="68" spans="5:30" ht="19.5" customHeight="1" x14ac:dyDescent="0.5"/>
  </sheetData>
  <sheetProtection sheet="1" objects="1" scenarios="1"/>
  <mergeCells count="13">
    <mergeCell ref="E38:F43"/>
    <mergeCell ref="G38:AD43"/>
    <mergeCell ref="E45:F50"/>
    <mergeCell ref="G45:AD50"/>
    <mergeCell ref="E59:F65"/>
    <mergeCell ref="G59:AD65"/>
    <mergeCell ref="E52:F57"/>
    <mergeCell ref="G52:AD57"/>
    <mergeCell ref="A2:B2"/>
    <mergeCell ref="F2:AA2"/>
    <mergeCell ref="E31:F36"/>
    <mergeCell ref="G31:AD36"/>
    <mergeCell ref="AB2:AC2"/>
  </mergeCells>
  <pageMargins left="0.78740157480314965" right="0.59055118110236227" top="0.59055118110236227" bottom="0" header="0.31496062992125984" footer="0.11811023622047245"/>
  <pageSetup paperSize="9" scale="39"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ECFF"/>
    <pageSetUpPr fitToPage="1"/>
  </sheetPr>
  <dimension ref="A2:AD42"/>
  <sheetViews>
    <sheetView showGridLines="0" showRowColHeaders="0" zoomScale="75" zoomScaleNormal="75" workbookViewId="0">
      <selection activeCell="H3" sqref="H3"/>
    </sheetView>
  </sheetViews>
  <sheetFormatPr defaultColWidth="9.1796875" defaultRowHeight="18" x14ac:dyDescent="0.5"/>
  <cols>
    <col min="1" max="1" width="6.26953125" style="59" bestFit="1" customWidth="1"/>
    <col min="2" max="2" width="30.7265625" style="60" customWidth="1"/>
    <col min="3" max="3" width="4" style="59" customWidth="1"/>
    <col min="4" max="4" width="9.1796875" style="59"/>
    <col min="5" max="5" width="18" style="59" customWidth="1"/>
    <col min="6" max="6" width="8.453125" style="59" customWidth="1"/>
    <col min="7" max="7" width="8.7265625" style="59" customWidth="1"/>
    <col min="8" max="20" width="9.453125" style="59" bestFit="1" customWidth="1"/>
    <col min="21" max="23" width="9.1796875" style="59"/>
    <col min="24" max="24" width="9.453125" style="59" bestFit="1" customWidth="1"/>
    <col min="25" max="16384" width="9.1796875" style="59"/>
  </cols>
  <sheetData>
    <row r="2" spans="1:30" s="458" customFormat="1" ht="30.5" x14ac:dyDescent="0.85">
      <c r="A2" s="822" t="s">
        <v>61</v>
      </c>
      <c r="B2" s="823"/>
      <c r="D2" s="820" t="s">
        <v>45</v>
      </c>
      <c r="E2" s="821"/>
      <c r="F2" s="459"/>
      <c r="G2" s="459"/>
      <c r="H2" s="457">
        <v>13</v>
      </c>
      <c r="I2" s="827" t="str">
        <f>VLOOKUP($H$2,BEGINBLAD!B5:C40,2)</f>
        <v>leerling 13</v>
      </c>
      <c r="J2" s="828"/>
      <c r="K2" s="828"/>
      <c r="L2" s="828"/>
      <c r="M2" s="828"/>
      <c r="N2" s="828"/>
      <c r="O2" s="828"/>
      <c r="P2" s="828"/>
      <c r="Q2" s="828"/>
      <c r="R2" s="828"/>
      <c r="S2" s="828"/>
      <c r="T2" s="828"/>
      <c r="U2" s="828"/>
      <c r="V2" s="828"/>
      <c r="W2" s="828"/>
      <c r="X2" s="828"/>
      <c r="Y2" s="828"/>
      <c r="Z2" s="828"/>
      <c r="AA2" s="829"/>
      <c r="AB2" s="825" t="s">
        <v>331</v>
      </c>
      <c r="AC2" s="826"/>
      <c r="AD2" s="553">
        <f>VLOOKUP($H$2,BEGINBLAD!B5:D40,3)</f>
        <v>0</v>
      </c>
    </row>
    <row r="3" spans="1:30" ht="28" customHeight="1" x14ac:dyDescent="0.5">
      <c r="I3" s="824" t="s">
        <v>269</v>
      </c>
      <c r="J3" s="824"/>
      <c r="K3" s="824"/>
      <c r="L3" s="824"/>
      <c r="M3" s="824"/>
      <c r="N3" s="824"/>
      <c r="O3" s="824"/>
      <c r="P3" s="824"/>
      <c r="Q3" s="824"/>
      <c r="R3" s="824"/>
      <c r="S3" s="824"/>
      <c r="T3" s="824"/>
      <c r="U3" s="824"/>
      <c r="V3" s="824"/>
      <c r="W3" s="824"/>
      <c r="X3" s="824"/>
      <c r="Y3" s="824"/>
      <c r="Z3" s="824"/>
      <c r="AA3" s="824" t="e">
        <f>VLOOKUP(H2,#REF!,32)</f>
        <v>#REF!</v>
      </c>
      <c r="AB3" s="824"/>
      <c r="AC3" s="824"/>
      <c r="AD3" s="824"/>
    </row>
    <row r="4" spans="1:30" ht="19.5" customHeight="1" x14ac:dyDescent="0.5"/>
    <row r="5" spans="1:30" x14ac:dyDescent="0.5">
      <c r="G5" s="68"/>
      <c r="H5" s="68"/>
    </row>
    <row r="6" spans="1:30" x14ac:dyDescent="0.5">
      <c r="A6" s="182">
        <v>1</v>
      </c>
      <c r="B6" s="183" t="str">
        <f>BEGINBLAD!C5</f>
        <v>leerling 1</v>
      </c>
      <c r="G6" s="68"/>
      <c r="H6" s="68"/>
    </row>
    <row r="7" spans="1:30" x14ac:dyDescent="0.5">
      <c r="A7" s="182">
        <v>2</v>
      </c>
      <c r="B7" s="183" t="str">
        <f>BEGINBLAD!C6</f>
        <v>leerling 2</v>
      </c>
      <c r="H7" s="61"/>
      <c r="I7" s="61"/>
      <c r="J7" s="61"/>
      <c r="K7" s="61"/>
      <c r="L7" s="61"/>
      <c r="M7" s="61"/>
      <c r="N7" s="61"/>
      <c r="O7" s="61"/>
      <c r="P7" s="61"/>
      <c r="Q7" s="61"/>
      <c r="R7" s="61"/>
      <c r="S7" s="61"/>
      <c r="T7" s="61"/>
      <c r="U7" s="61"/>
    </row>
    <row r="8" spans="1:30" x14ac:dyDescent="0.5">
      <c r="A8" s="182">
        <v>3</v>
      </c>
      <c r="B8" s="183" t="str">
        <f>BEGINBLAD!C7</f>
        <v>leerling 3</v>
      </c>
      <c r="H8" s="61"/>
      <c r="I8" s="61"/>
      <c r="J8" s="61"/>
      <c r="K8" s="61"/>
      <c r="L8" s="61"/>
      <c r="M8" s="61"/>
      <c r="N8" s="61"/>
      <c r="O8" s="61"/>
      <c r="P8" s="61"/>
      <c r="Q8" s="61"/>
      <c r="R8" s="61"/>
      <c r="S8" s="61"/>
      <c r="T8" s="61"/>
      <c r="U8" s="61"/>
    </row>
    <row r="9" spans="1:30" x14ac:dyDescent="0.5">
      <c r="A9" s="182">
        <v>4</v>
      </c>
      <c r="B9" s="183" t="str">
        <f>BEGINBLAD!C8</f>
        <v>leerling 4</v>
      </c>
      <c r="H9" s="61"/>
      <c r="I9" s="61"/>
      <c r="J9" s="61"/>
      <c r="K9" s="61"/>
      <c r="L9" s="61"/>
      <c r="M9" s="61"/>
      <c r="N9" s="61"/>
      <c r="O9" s="61"/>
      <c r="P9" s="61"/>
      <c r="Q9" s="61"/>
      <c r="R9" s="61"/>
      <c r="S9" s="61"/>
      <c r="T9" s="61"/>
      <c r="U9" s="61"/>
    </row>
    <row r="10" spans="1:30" x14ac:dyDescent="0.5">
      <c r="A10" s="182">
        <v>5</v>
      </c>
      <c r="B10" s="183" t="str">
        <f>BEGINBLAD!C9</f>
        <v>leerling 5</v>
      </c>
      <c r="H10" s="61"/>
      <c r="I10" s="61"/>
      <c r="J10" s="61"/>
      <c r="K10" s="61"/>
      <c r="L10" s="61"/>
      <c r="M10" s="61"/>
      <c r="N10" s="61"/>
      <c r="O10" s="61"/>
      <c r="P10" s="61"/>
      <c r="Q10" s="61"/>
      <c r="R10" s="61"/>
      <c r="S10" s="61"/>
      <c r="T10" s="61"/>
      <c r="U10" s="61"/>
    </row>
    <row r="11" spans="1:30" x14ac:dyDescent="0.5">
      <c r="A11" s="182">
        <v>6</v>
      </c>
      <c r="B11" s="183" t="str">
        <f>BEGINBLAD!C10</f>
        <v>leerling 6</v>
      </c>
      <c r="H11" s="61"/>
      <c r="I11" s="61"/>
      <c r="J11" s="61"/>
      <c r="K11" s="61"/>
      <c r="L11" s="61"/>
      <c r="M11" s="61"/>
      <c r="N11" s="61"/>
      <c r="O11" s="61"/>
      <c r="P11" s="61"/>
      <c r="Q11" s="61"/>
      <c r="R11" s="61"/>
      <c r="S11" s="61"/>
      <c r="T11" s="61"/>
      <c r="U11" s="61"/>
    </row>
    <row r="12" spans="1:30" x14ac:dyDescent="0.5">
      <c r="A12" s="182">
        <v>7</v>
      </c>
      <c r="B12" s="183" t="str">
        <f>BEGINBLAD!C11</f>
        <v>leerling 7</v>
      </c>
      <c r="H12" s="61"/>
      <c r="I12" s="61"/>
      <c r="J12" s="61"/>
      <c r="K12" s="219" t="s">
        <v>47</v>
      </c>
      <c r="L12" s="220" t="s">
        <v>48</v>
      </c>
      <c r="M12" s="221" t="s">
        <v>49</v>
      </c>
      <c r="N12" s="219" t="s">
        <v>53</v>
      </c>
      <c r="O12" s="220" t="s">
        <v>54</v>
      </c>
      <c r="P12" s="221" t="s">
        <v>55</v>
      </c>
      <c r="Q12" s="219" t="s">
        <v>50</v>
      </c>
      <c r="R12" s="220" t="s">
        <v>51</v>
      </c>
      <c r="S12" s="221" t="s">
        <v>52</v>
      </c>
      <c r="T12" s="219" t="s">
        <v>56</v>
      </c>
      <c r="U12" s="220" t="s">
        <v>57</v>
      </c>
      <c r="V12" s="221" t="s">
        <v>58</v>
      </c>
      <c r="W12" s="219" t="s">
        <v>103</v>
      </c>
      <c r="X12" s="220" t="s">
        <v>104</v>
      </c>
      <c r="Y12" s="221" t="s">
        <v>105</v>
      </c>
      <c r="Z12" s="222" t="s">
        <v>59</v>
      </c>
      <c r="AA12" s="216" t="s">
        <v>89</v>
      </c>
      <c r="AB12" s="60"/>
      <c r="AC12" s="60"/>
    </row>
    <row r="13" spans="1:30" x14ac:dyDescent="0.5">
      <c r="A13" s="182">
        <v>8</v>
      </c>
      <c r="B13" s="183" t="str">
        <f>BEGINBLAD!C12</f>
        <v>leerling 8</v>
      </c>
      <c r="H13" s="69"/>
      <c r="I13" s="69"/>
      <c r="J13" s="69"/>
      <c r="K13" s="223">
        <f>VLOOKUP($H$2,'NIVEAU WAARDE - vorig jaar'!$B$9:$H$44,3)</f>
        <v>1.8</v>
      </c>
      <c r="L13" s="223">
        <f>VLOOKUP($H$2,'NIVEAU WAARDE - 1e toetsperiode'!$B$9:$H$44,3)</f>
        <v>2.2999999999999998</v>
      </c>
      <c r="M13" s="223">
        <f>VLOOKUP($H$2,'NIVEAU WAARDE - 2e toetsperiode'!$B$9:$H$44,3)</f>
        <v>0</v>
      </c>
      <c r="N13" s="223">
        <f>VLOOKUP($H$2,'NIVEAU WAARDE - vorig jaar'!$B$9:$H$44,4)</f>
        <v>3.4</v>
      </c>
      <c r="O13" s="223">
        <f>VLOOKUP($H$2,'NIVEAU WAARDE - 1e toetsperiode'!$B$9:$H$44,4)</f>
        <v>4.5</v>
      </c>
      <c r="P13" s="223">
        <f>VLOOKUP($H$2,'NIVEAU WAARDE - 2e toetsperiode'!$B$9:$H$44,4)</f>
        <v>4.4000000000000004</v>
      </c>
      <c r="Q13" s="223">
        <f>VLOOKUP($H$2,'NIVEAU WAARDE - vorig jaar'!$B$9:$H$44,5)</f>
        <v>4.2</v>
      </c>
      <c r="R13" s="223">
        <f>VLOOKUP($H$2,'NIVEAU WAARDE - 1e toetsperiode'!$B$9:$H$44,5)</f>
        <v>3.6</v>
      </c>
      <c r="S13" s="223">
        <f>VLOOKUP($H$2,'NIVEAU WAARDE - 2e toetsperiode'!$B$9:$H$44,5)</f>
        <v>3.6</v>
      </c>
      <c r="T13" s="223">
        <f>VLOOKUP($H$2,'NIVEAU WAARDE - vorig jaar'!$B$9:$H$44,6)</f>
        <v>2.8</v>
      </c>
      <c r="U13" s="223">
        <f>VLOOKUP($H$2,'NIVEAU WAARDE - 1e toetsperiode'!$B$9:$H$44,6)</f>
        <v>3</v>
      </c>
      <c r="V13" s="223">
        <f>VLOOKUP($H$2,'NIVEAU WAARDE - 2e toetsperiode'!$B$9:$H$44,6)</f>
        <v>3.2</v>
      </c>
      <c r="W13" s="223">
        <f>VLOOKUP($H$2,'NIVEAU WAARDE - vorig jaar'!$B$9:$H$44,7)</f>
        <v>4.2</v>
      </c>
      <c r="X13" s="223">
        <f>VLOOKUP($H$2,'NIVEAU WAARDE - 1e toetsperiode'!$B$9:$H$44,7)</f>
        <v>4.2</v>
      </c>
      <c r="Y13" s="223">
        <f>VLOOKUP($H$2,'NIVEAU WAARDE - 2e toetsperiode'!$B$9:$H$44,7)</f>
        <v>0</v>
      </c>
      <c r="Z13" s="224">
        <f>AC13/AB13</f>
        <v>3.4769230769230779</v>
      </c>
      <c r="AA13" s="223" t="e">
        <f>VLOOKUP($H$2,#REF!,5)</f>
        <v>#REF!</v>
      </c>
      <c r="AB13" s="216">
        <f>COUNTIF(K13:Y13,"&gt;0")</f>
        <v>13</v>
      </c>
      <c r="AC13" s="218">
        <f>SUM(K13:Y13)</f>
        <v>45.20000000000001</v>
      </c>
    </row>
    <row r="14" spans="1:30" x14ac:dyDescent="0.5">
      <c r="A14" s="182">
        <v>9</v>
      </c>
      <c r="B14" s="183" t="str">
        <f>BEGINBLAD!C13</f>
        <v>leerling 9</v>
      </c>
    </row>
    <row r="15" spans="1:30" x14ac:dyDescent="0.5">
      <c r="A15" s="182">
        <v>10</v>
      </c>
      <c r="B15" s="183" t="str">
        <f>BEGINBLAD!C14</f>
        <v>leerling 10</v>
      </c>
    </row>
    <row r="16" spans="1:30" x14ac:dyDescent="0.5">
      <c r="A16" s="182">
        <v>11</v>
      </c>
      <c r="B16" s="183" t="str">
        <f>BEGINBLAD!C15</f>
        <v>leerling 11</v>
      </c>
      <c r="H16" s="61"/>
      <c r="I16" s="61"/>
      <c r="J16" s="61"/>
      <c r="K16" s="61"/>
      <c r="L16" s="61"/>
      <c r="M16" s="61"/>
      <c r="N16" s="61"/>
      <c r="O16" s="61"/>
      <c r="P16" s="61"/>
      <c r="Q16" s="61"/>
      <c r="R16" s="61"/>
      <c r="S16" s="61"/>
      <c r="T16" s="61"/>
      <c r="U16" s="61"/>
    </row>
    <row r="17" spans="1:21" x14ac:dyDescent="0.5">
      <c r="A17" s="182">
        <v>12</v>
      </c>
      <c r="B17" s="183" t="str">
        <f>BEGINBLAD!C16</f>
        <v>leerling 12</v>
      </c>
      <c r="H17" s="61"/>
      <c r="I17" s="61"/>
      <c r="J17" s="61"/>
      <c r="K17" s="61"/>
      <c r="L17" s="61"/>
      <c r="M17" s="61"/>
      <c r="N17" s="61"/>
      <c r="O17" s="61"/>
      <c r="P17" s="61"/>
      <c r="Q17" s="61"/>
      <c r="R17" s="61"/>
      <c r="S17" s="61"/>
      <c r="T17" s="61"/>
      <c r="U17" s="61"/>
    </row>
    <row r="18" spans="1:21" x14ac:dyDescent="0.5">
      <c r="A18" s="182">
        <v>13</v>
      </c>
      <c r="B18" s="183" t="str">
        <f>BEGINBLAD!C17</f>
        <v>leerling 13</v>
      </c>
      <c r="H18" s="62"/>
      <c r="I18" s="61"/>
      <c r="J18" s="61"/>
      <c r="K18" s="61"/>
      <c r="L18" s="61"/>
      <c r="M18" s="61"/>
      <c r="N18" s="61"/>
      <c r="O18" s="61"/>
      <c r="P18" s="61"/>
      <c r="Q18" s="61"/>
      <c r="R18" s="61"/>
      <c r="S18" s="61"/>
      <c r="T18" s="61"/>
      <c r="U18" s="61"/>
    </row>
    <row r="19" spans="1:21" x14ac:dyDescent="0.5">
      <c r="A19" s="182">
        <v>14</v>
      </c>
      <c r="B19" s="183" t="str">
        <f>BEGINBLAD!C18</f>
        <v>leerling 14</v>
      </c>
      <c r="H19" s="63"/>
      <c r="I19" s="63"/>
      <c r="J19" s="63"/>
      <c r="K19" s="63"/>
      <c r="L19" s="61"/>
      <c r="M19" s="63"/>
      <c r="N19" s="61"/>
      <c r="O19" s="61"/>
      <c r="P19" s="63"/>
      <c r="Q19" s="61"/>
      <c r="R19" s="61"/>
      <c r="S19" s="61"/>
      <c r="T19" s="61"/>
      <c r="U19" s="61"/>
    </row>
    <row r="20" spans="1:21" x14ac:dyDescent="0.5">
      <c r="A20" s="182">
        <v>15</v>
      </c>
      <c r="B20" s="183" t="str">
        <f>BEGINBLAD!C19</f>
        <v>leerling 15</v>
      </c>
      <c r="H20" s="64"/>
      <c r="I20" s="64"/>
      <c r="J20" s="65"/>
      <c r="K20" s="65"/>
      <c r="L20" s="61"/>
      <c r="M20" s="64"/>
      <c r="N20" s="61"/>
      <c r="O20" s="61"/>
      <c r="P20" s="65"/>
      <c r="Q20" s="61"/>
      <c r="R20" s="61"/>
      <c r="S20" s="61"/>
      <c r="T20" s="61"/>
      <c r="U20" s="61"/>
    </row>
    <row r="21" spans="1:21" x14ac:dyDescent="0.5">
      <c r="A21" s="182">
        <v>16</v>
      </c>
      <c r="B21" s="183" t="str">
        <f>BEGINBLAD!C20</f>
        <v>leerling 16</v>
      </c>
      <c r="H21" s="61"/>
      <c r="I21" s="61"/>
      <c r="J21" s="61"/>
      <c r="K21" s="61"/>
      <c r="L21" s="61"/>
      <c r="M21" s="61"/>
      <c r="N21" s="61"/>
      <c r="O21" s="61"/>
      <c r="P21" s="61"/>
      <c r="Q21" s="61"/>
      <c r="R21" s="61"/>
      <c r="S21" s="61"/>
      <c r="T21" s="61"/>
      <c r="U21" s="61"/>
    </row>
    <row r="22" spans="1:21" x14ac:dyDescent="0.5">
      <c r="A22" s="182">
        <v>17</v>
      </c>
      <c r="B22" s="183" t="str">
        <f>BEGINBLAD!C21</f>
        <v>leerling 17</v>
      </c>
      <c r="H22" s="61"/>
      <c r="I22" s="61"/>
      <c r="J22" s="61"/>
      <c r="K22" s="61"/>
      <c r="L22" s="61"/>
      <c r="M22" s="61"/>
      <c r="N22" s="61"/>
      <c r="O22" s="61"/>
      <c r="P22" s="61"/>
      <c r="Q22" s="61"/>
      <c r="R22" s="61"/>
      <c r="S22" s="61"/>
      <c r="T22" s="61"/>
      <c r="U22" s="61"/>
    </row>
    <row r="23" spans="1:21" ht="15" customHeight="1" x14ac:dyDescent="0.5">
      <c r="A23" s="182">
        <v>18</v>
      </c>
      <c r="B23" s="183" t="str">
        <f>BEGINBLAD!C22</f>
        <v>leerling 18</v>
      </c>
    </row>
    <row r="24" spans="1:21" x14ac:dyDescent="0.5">
      <c r="A24" s="182">
        <v>19</v>
      </c>
      <c r="B24" s="183" t="str">
        <f>BEGINBLAD!C23</f>
        <v>leerling 19</v>
      </c>
    </row>
    <row r="25" spans="1:21" x14ac:dyDescent="0.5">
      <c r="A25" s="182">
        <v>20</v>
      </c>
      <c r="B25" s="183" t="str">
        <f>BEGINBLAD!C24</f>
        <v>leerling 20</v>
      </c>
    </row>
    <row r="26" spans="1:21" x14ac:dyDescent="0.5">
      <c r="A26" s="182">
        <v>21</v>
      </c>
      <c r="B26" s="183" t="str">
        <f>BEGINBLAD!C25</f>
        <v>leerling 21</v>
      </c>
    </row>
    <row r="27" spans="1:21" x14ac:dyDescent="0.5">
      <c r="A27" s="182">
        <v>22</v>
      </c>
      <c r="B27" s="183" t="str">
        <f>BEGINBLAD!C26</f>
        <v>leerling 22</v>
      </c>
    </row>
    <row r="28" spans="1:21" ht="15.75" customHeight="1" x14ac:dyDescent="0.5">
      <c r="A28" s="182">
        <v>23</v>
      </c>
      <c r="B28" s="183" t="str">
        <f>BEGINBLAD!C27</f>
        <v>leerling 23</v>
      </c>
    </row>
    <row r="29" spans="1:21" x14ac:dyDescent="0.5">
      <c r="A29" s="182">
        <v>24</v>
      </c>
      <c r="B29" s="183" t="str">
        <f>BEGINBLAD!C28</f>
        <v>leerling 24</v>
      </c>
    </row>
    <row r="30" spans="1:21" x14ac:dyDescent="0.5">
      <c r="A30" s="182">
        <v>25</v>
      </c>
      <c r="B30" s="183" t="str">
        <f>BEGINBLAD!C29</f>
        <v>leerling 25</v>
      </c>
    </row>
    <row r="31" spans="1:21" x14ac:dyDescent="0.5">
      <c r="A31" s="182">
        <v>26</v>
      </c>
      <c r="B31" s="183" t="str">
        <f>BEGINBLAD!C30</f>
        <v>leerling 26</v>
      </c>
    </row>
    <row r="32" spans="1:21" x14ac:dyDescent="0.5">
      <c r="A32" s="182">
        <v>27</v>
      </c>
      <c r="B32" s="183">
        <f>BEGINBLAD!C31</f>
        <v>0</v>
      </c>
    </row>
    <row r="33" spans="1:2" x14ac:dyDescent="0.5">
      <c r="A33" s="182">
        <v>28</v>
      </c>
      <c r="B33" s="183">
        <f>BEGINBLAD!C32</f>
        <v>0</v>
      </c>
    </row>
    <row r="34" spans="1:2" x14ac:dyDescent="0.5">
      <c r="A34" s="182">
        <v>29</v>
      </c>
      <c r="B34" s="183">
        <f>BEGINBLAD!C33</f>
        <v>0</v>
      </c>
    </row>
    <row r="35" spans="1:2" x14ac:dyDescent="0.5">
      <c r="A35" s="182">
        <v>30</v>
      </c>
      <c r="B35" s="183">
        <f>BEGINBLAD!C34</f>
        <v>0</v>
      </c>
    </row>
    <row r="36" spans="1:2" x14ac:dyDescent="0.5">
      <c r="A36" s="182">
        <v>31</v>
      </c>
      <c r="B36" s="183">
        <f>BEGINBLAD!C35</f>
        <v>0</v>
      </c>
    </row>
    <row r="37" spans="1:2" x14ac:dyDescent="0.5">
      <c r="A37" s="182">
        <v>32</v>
      </c>
      <c r="B37" s="183">
        <f>BEGINBLAD!C36</f>
        <v>0</v>
      </c>
    </row>
    <row r="38" spans="1:2" x14ac:dyDescent="0.5">
      <c r="A38" s="182">
        <v>33</v>
      </c>
      <c r="B38" s="183">
        <f>BEGINBLAD!C37</f>
        <v>0</v>
      </c>
    </row>
    <row r="39" spans="1:2" x14ac:dyDescent="0.5">
      <c r="A39" s="182">
        <v>34</v>
      </c>
      <c r="B39" s="183">
        <f>BEGINBLAD!C38</f>
        <v>0</v>
      </c>
    </row>
    <row r="40" spans="1:2" x14ac:dyDescent="0.5">
      <c r="A40" s="182">
        <v>35</v>
      </c>
      <c r="B40" s="183">
        <f>BEGINBLAD!C39</f>
        <v>0</v>
      </c>
    </row>
    <row r="41" spans="1:2" x14ac:dyDescent="0.5">
      <c r="A41" s="182">
        <v>36</v>
      </c>
      <c r="B41" s="183">
        <f>BEGINBLAD!C40</f>
        <v>0</v>
      </c>
    </row>
    <row r="42" spans="1:2" x14ac:dyDescent="0.5">
      <c r="A42" s="66"/>
      <c r="B42" s="67"/>
    </row>
  </sheetData>
  <mergeCells count="6">
    <mergeCell ref="D2:E2"/>
    <mergeCell ref="A2:B2"/>
    <mergeCell ref="I3:Z3"/>
    <mergeCell ref="AA3:AD3"/>
    <mergeCell ref="AB2:AC2"/>
    <mergeCell ref="I2:AA2"/>
  </mergeCells>
  <pageMargins left="0.39370078740157483" right="0.23622047244094491" top="0.98425196850393704" bottom="0.98425196850393704" header="0.51181102362204722" footer="0.51181102362204722"/>
  <pageSetup paperSize="9" scale="55" orientation="landscape" horizontalDpi="4294967293" r:id="rId1"/>
  <headerFooter alignWithMargins="0">
    <oddHeader>&amp;C&amp;14Ontwikkelings Perspectief (OPP)</oddHeader>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2"/>
  <sheetViews>
    <sheetView showGridLines="0" showRowColHeaders="0" zoomScale="75" zoomScaleNormal="75" workbookViewId="0">
      <selection activeCell="H3" sqref="H3:Y3"/>
    </sheetView>
  </sheetViews>
  <sheetFormatPr defaultColWidth="9.1796875" defaultRowHeight="18" x14ac:dyDescent="0.5"/>
  <cols>
    <col min="1" max="1" width="6.26953125" style="59" bestFit="1" customWidth="1"/>
    <col min="2" max="2" width="30.7265625" style="60" customWidth="1"/>
    <col min="3" max="3" width="4" style="59" customWidth="1"/>
    <col min="4" max="4" width="18" style="59" customWidth="1"/>
    <col min="5" max="5" width="8.453125" style="59" customWidth="1"/>
    <col min="6" max="6" width="8.7265625" style="59" customWidth="1"/>
    <col min="7" max="19" width="9.453125" style="59" bestFit="1" customWidth="1"/>
    <col min="20" max="22" width="9.1796875" style="59"/>
    <col min="23" max="23" width="9.453125" style="59" bestFit="1" customWidth="1"/>
    <col min="24" max="16384" width="9.1796875" style="59"/>
  </cols>
  <sheetData>
    <row r="2" spans="1:29" s="458" customFormat="1" ht="30.5" x14ac:dyDescent="0.85">
      <c r="A2" s="822" t="s">
        <v>61</v>
      </c>
      <c r="B2" s="823"/>
      <c r="D2" s="820" t="s">
        <v>45</v>
      </c>
      <c r="E2" s="820"/>
      <c r="F2" s="459"/>
      <c r="G2" s="457">
        <v>12</v>
      </c>
      <c r="H2" s="830" t="str">
        <f>VLOOKUP($G$2,BEGINBLAD!B5:C40,2)</f>
        <v>leerling 12</v>
      </c>
      <c r="I2" s="830"/>
      <c r="J2" s="830"/>
      <c r="K2" s="830"/>
      <c r="L2" s="830"/>
      <c r="M2" s="830"/>
      <c r="N2" s="830"/>
      <c r="O2" s="830"/>
      <c r="P2" s="830"/>
      <c r="Q2" s="830"/>
      <c r="R2" s="830"/>
      <c r="S2" s="830"/>
      <c r="T2" s="830"/>
      <c r="U2" s="830"/>
      <c r="V2" s="830"/>
      <c r="W2" s="830"/>
      <c r="X2" s="830"/>
      <c r="Y2" s="830"/>
      <c r="Z2" s="831" t="str">
        <f>BEGINBLAD!$I$3</f>
        <v>groep 7</v>
      </c>
      <c r="AA2" s="832"/>
      <c r="AB2" s="832"/>
      <c r="AC2" s="833"/>
    </row>
    <row r="3" spans="1:29" ht="28" customHeight="1" x14ac:dyDescent="0.5">
      <c r="H3" s="824" t="s">
        <v>269</v>
      </c>
      <c r="I3" s="824"/>
      <c r="J3" s="824"/>
      <c r="K3" s="824"/>
      <c r="L3" s="824"/>
      <c r="M3" s="824"/>
      <c r="N3" s="824"/>
      <c r="O3" s="824"/>
      <c r="P3" s="824"/>
      <c r="Q3" s="824"/>
      <c r="R3" s="824"/>
      <c r="S3" s="824"/>
      <c r="T3" s="824"/>
      <c r="U3" s="824"/>
      <c r="V3" s="824"/>
      <c r="W3" s="824"/>
      <c r="X3" s="824"/>
      <c r="Y3" s="824"/>
      <c r="Z3" s="824" t="e">
        <f>VLOOKUP(G2,#REF!,32)</f>
        <v>#REF!</v>
      </c>
      <c r="AA3" s="824"/>
      <c r="AB3" s="824"/>
      <c r="AC3" s="824"/>
    </row>
    <row r="4" spans="1:29" ht="19.5" customHeight="1" x14ac:dyDescent="0.5"/>
    <row r="5" spans="1:29" x14ac:dyDescent="0.5">
      <c r="F5" s="68"/>
      <c r="G5" s="68"/>
    </row>
    <row r="6" spans="1:29" x14ac:dyDescent="0.5">
      <c r="A6" s="182">
        <v>1</v>
      </c>
      <c r="B6" s="183" t="str">
        <f>BEGINBLAD!C5</f>
        <v>leerling 1</v>
      </c>
      <c r="F6" s="68"/>
      <c r="G6" s="68"/>
    </row>
    <row r="7" spans="1:29" x14ac:dyDescent="0.5">
      <c r="A7" s="182">
        <v>2</v>
      </c>
      <c r="B7" s="183" t="str">
        <f>BEGINBLAD!C6</f>
        <v>leerling 2</v>
      </c>
      <c r="G7" s="61"/>
      <c r="H7" s="61"/>
      <c r="I7" s="61"/>
      <c r="J7" s="61"/>
      <c r="K7" s="61"/>
      <c r="L7" s="61"/>
      <c r="M7" s="61"/>
      <c r="N7" s="61"/>
      <c r="O7" s="61"/>
      <c r="P7" s="61"/>
      <c r="Q7" s="61"/>
      <c r="R7" s="61"/>
      <c r="S7" s="61"/>
      <c r="T7" s="61"/>
    </row>
    <row r="8" spans="1:29" x14ac:dyDescent="0.5">
      <c r="A8" s="182">
        <v>3</v>
      </c>
      <c r="B8" s="183" t="str">
        <f>BEGINBLAD!C7</f>
        <v>leerling 3</v>
      </c>
      <c r="G8" s="61"/>
      <c r="H8" s="61"/>
      <c r="I8" s="61"/>
      <c r="J8" s="61"/>
      <c r="K8" s="61"/>
      <c r="L8" s="61"/>
      <c r="M8" s="61"/>
      <c r="N8" s="61"/>
      <c r="O8" s="61"/>
      <c r="P8" s="61"/>
      <c r="Q8" s="61"/>
      <c r="R8" s="61"/>
      <c r="S8" s="61"/>
      <c r="T8" s="61"/>
    </row>
    <row r="9" spans="1:29" x14ac:dyDescent="0.5">
      <c r="A9" s="182">
        <v>4</v>
      </c>
      <c r="B9" s="183" t="str">
        <f>BEGINBLAD!C8</f>
        <v>leerling 4</v>
      </c>
      <c r="G9" s="61"/>
      <c r="H9" s="61"/>
      <c r="I9" s="61"/>
      <c r="J9" s="61"/>
      <c r="K9" s="61"/>
      <c r="L9" s="61"/>
      <c r="M9" s="61"/>
      <c r="N9" s="61"/>
      <c r="O9" s="61"/>
      <c r="P9" s="61"/>
      <c r="Q9" s="61"/>
      <c r="R9" s="61"/>
      <c r="S9" s="61"/>
      <c r="T9" s="61"/>
    </row>
    <row r="10" spans="1:29" x14ac:dyDescent="0.5">
      <c r="A10" s="182">
        <v>5</v>
      </c>
      <c r="B10" s="183" t="str">
        <f>BEGINBLAD!C9</f>
        <v>leerling 5</v>
      </c>
      <c r="G10" s="61"/>
      <c r="H10" s="61"/>
      <c r="I10" s="61"/>
      <c r="J10" s="61"/>
      <c r="K10" s="61"/>
      <c r="L10" s="61"/>
      <c r="M10" s="61"/>
      <c r="N10" s="61"/>
      <c r="O10" s="61"/>
      <c r="P10" s="61"/>
      <c r="Q10" s="61"/>
      <c r="R10" s="61"/>
      <c r="S10" s="61"/>
      <c r="T10" s="61"/>
    </row>
    <row r="11" spans="1:29" x14ac:dyDescent="0.5">
      <c r="A11" s="182">
        <v>6</v>
      </c>
      <c r="B11" s="183" t="str">
        <f>BEGINBLAD!C10</f>
        <v>leerling 6</v>
      </c>
      <c r="G11" s="61"/>
      <c r="H11" s="61"/>
      <c r="I11" s="61"/>
      <c r="J11" s="61"/>
      <c r="K11" s="61"/>
      <c r="L11" s="61"/>
      <c r="M11" s="61"/>
      <c r="N11" s="61"/>
      <c r="O11" s="61"/>
      <c r="P11" s="61"/>
      <c r="Q11" s="61"/>
      <c r="R11" s="61"/>
      <c r="S11" s="61"/>
      <c r="T11" s="61"/>
    </row>
    <row r="12" spans="1:29" x14ac:dyDescent="0.5">
      <c r="A12" s="182">
        <v>7</v>
      </c>
      <c r="B12" s="183" t="str">
        <f>BEGINBLAD!C11</f>
        <v>leerling 7</v>
      </c>
      <c r="G12" s="61"/>
      <c r="H12" s="61"/>
      <c r="I12" s="61"/>
      <c r="J12" s="219" t="s">
        <v>47</v>
      </c>
      <c r="K12" s="220" t="s">
        <v>48</v>
      </c>
      <c r="L12" s="221" t="s">
        <v>49</v>
      </c>
      <c r="M12" s="219" t="s">
        <v>53</v>
      </c>
      <c r="N12" s="220" t="s">
        <v>54</v>
      </c>
      <c r="O12" s="221" t="s">
        <v>55</v>
      </c>
      <c r="P12" s="219" t="s">
        <v>50</v>
      </c>
      <c r="Q12" s="220" t="s">
        <v>51</v>
      </c>
      <c r="R12" s="221" t="s">
        <v>52</v>
      </c>
      <c r="S12" s="219" t="s">
        <v>56</v>
      </c>
      <c r="T12" s="220" t="s">
        <v>57</v>
      </c>
      <c r="U12" s="221" t="s">
        <v>58</v>
      </c>
      <c r="V12" s="219" t="s">
        <v>103</v>
      </c>
      <c r="W12" s="220" t="s">
        <v>104</v>
      </c>
      <c r="X12" s="221" t="s">
        <v>105</v>
      </c>
      <c r="Y12" s="222" t="s">
        <v>277</v>
      </c>
      <c r="Z12" s="216" t="s">
        <v>89</v>
      </c>
      <c r="AA12" s="60"/>
      <c r="AB12" s="60"/>
    </row>
    <row r="13" spans="1:29" x14ac:dyDescent="0.5">
      <c r="A13" s="182">
        <v>8</v>
      </c>
      <c r="B13" s="183" t="str">
        <f>BEGINBLAD!C12</f>
        <v>leerling 8</v>
      </c>
      <c r="G13" s="69"/>
      <c r="H13" s="69"/>
      <c r="I13" s="69"/>
      <c r="J13" s="223">
        <f>VLOOKUP($G$2,'NIVEAU WAARDE - vorig jaar'!$B$9:$Y$44,16)</f>
        <v>0</v>
      </c>
      <c r="K13" s="223" t="str">
        <f>VLOOKUP($G$2,'NIVEAU WAARDE - 1e toetsperiode'!$B$9:$Y$44,16)</f>
        <v>1F</v>
      </c>
      <c r="L13" s="223" t="str">
        <f>VLOOKUP($G$2,'NIVEAU WAARDE - 2e toetsperiode'!$B$9:$Y$44,16)</f>
        <v>1F</v>
      </c>
      <c r="M13" s="223">
        <f>VLOOKUP($G$2,'NIVEAU WAARDE - vorig jaar'!$B$9:$Y$44,17)</f>
        <v>0</v>
      </c>
      <c r="N13" s="223">
        <f>VLOOKUP($G$2,'NIVEAU WAARDE - 1e toetsperiode'!$B$9:$Y$44,17)</f>
        <v>0</v>
      </c>
      <c r="O13" s="223">
        <f>VLOOKUP($G$2,'NIVEAU WAARDE - 2e toetsperiode'!$B$9:$Y$44,17)</f>
        <v>0</v>
      </c>
      <c r="P13" s="223">
        <f>VLOOKUP($G$2,'NIVEAU WAARDE - vorig jaar'!$B$9:$Y$44,18)</f>
        <v>12</v>
      </c>
      <c r="Q13" s="223">
        <f>VLOOKUP($G$2,'NIVEAU WAARDE - 1e toetsperiode'!$B$9:$Y$44,18)</f>
        <v>12</v>
      </c>
      <c r="R13" s="223">
        <f>VLOOKUP($G$2,'NIVEAU WAARDE - 2e toetsperiode'!$B$9:$Y$44,18)</f>
        <v>12</v>
      </c>
      <c r="S13" s="223" t="str">
        <f>VLOOKUP($G$2,'NIVEAU WAARDE - vorig jaar'!$B$9:$Y$44,19)</f>
        <v>leerling 12</v>
      </c>
      <c r="T13" s="223" t="str">
        <f>VLOOKUP($G$2,'NIVEAU WAARDE - 1e toetsperiode'!$B$9:$Y$44,19)</f>
        <v>leerling 12</v>
      </c>
      <c r="U13" s="223" t="str">
        <f>VLOOKUP($G$2,'NIVEAU WAARDE - 2e toetsperiode'!$B$9:$Y$44,19)</f>
        <v>leerling 12</v>
      </c>
      <c r="V13" s="223">
        <f>VLOOKUP($G$2,'NIVEAU WAARDE - vorig jaar'!$B$9:$Y$44,20)</f>
        <v>38</v>
      </c>
      <c r="W13" s="223">
        <f>VLOOKUP($G$2,'NIVEAU WAARDE - 1e toetsperiode'!$B$9:$Y$44,20)</f>
        <v>48</v>
      </c>
      <c r="X13" s="223">
        <f>VLOOKUP($G$2,'NIVEAU WAARDE - 2e toetsperiode'!$B$9:$Y$44,20)</f>
        <v>0</v>
      </c>
      <c r="Y13" s="224">
        <f>AB13/AA13</f>
        <v>24.4</v>
      </c>
      <c r="Z13" s="223" t="e">
        <f>VLOOKUP($G$2,#REF!,5)</f>
        <v>#REF!</v>
      </c>
      <c r="AA13" s="216">
        <f>COUNTIF(J13:X13,"&gt;0")</f>
        <v>5</v>
      </c>
      <c r="AB13" s="218">
        <f>SUM(J13:X13)</f>
        <v>122</v>
      </c>
    </row>
    <row r="14" spans="1:29" x14ac:dyDescent="0.5">
      <c r="A14" s="182">
        <v>9</v>
      </c>
      <c r="B14" s="183" t="str">
        <f>BEGINBLAD!C13</f>
        <v>leerling 9</v>
      </c>
    </row>
    <row r="15" spans="1:29" x14ac:dyDescent="0.5">
      <c r="A15" s="182">
        <v>10</v>
      </c>
      <c r="B15" s="183" t="str">
        <f>BEGINBLAD!C14</f>
        <v>leerling 10</v>
      </c>
    </row>
    <row r="16" spans="1:29" x14ac:dyDescent="0.5">
      <c r="A16" s="182">
        <v>11</v>
      </c>
      <c r="B16" s="183" t="str">
        <f>BEGINBLAD!C15</f>
        <v>leerling 11</v>
      </c>
      <c r="G16" s="61"/>
      <c r="H16" s="61"/>
      <c r="I16" s="61"/>
      <c r="J16" s="61"/>
      <c r="K16" s="61"/>
      <c r="L16" s="61"/>
      <c r="M16" s="61"/>
      <c r="N16" s="61"/>
      <c r="O16" s="61"/>
      <c r="P16" s="61"/>
      <c r="Q16" s="61"/>
      <c r="R16" s="61"/>
      <c r="S16" s="61"/>
      <c r="T16" s="61"/>
    </row>
    <row r="17" spans="1:20" x14ac:dyDescent="0.5">
      <c r="A17" s="182">
        <v>12</v>
      </c>
      <c r="B17" s="183" t="str">
        <f>BEGINBLAD!C16</f>
        <v>leerling 12</v>
      </c>
      <c r="G17" s="61"/>
      <c r="H17" s="61"/>
      <c r="I17" s="61"/>
      <c r="J17" s="61"/>
      <c r="K17" s="61"/>
      <c r="L17" s="61"/>
      <c r="M17" s="61"/>
      <c r="N17" s="61"/>
      <c r="O17" s="61"/>
      <c r="P17" s="61"/>
      <c r="Q17" s="61"/>
      <c r="R17" s="61"/>
      <c r="S17" s="61"/>
      <c r="T17" s="61"/>
    </row>
    <row r="18" spans="1:20" x14ac:dyDescent="0.5">
      <c r="A18" s="182">
        <v>13</v>
      </c>
      <c r="B18" s="183" t="str">
        <f>BEGINBLAD!C17</f>
        <v>leerling 13</v>
      </c>
      <c r="G18" s="62"/>
      <c r="H18" s="61"/>
      <c r="I18" s="61"/>
      <c r="J18" s="61"/>
      <c r="K18" s="61"/>
      <c r="L18" s="61"/>
      <c r="M18" s="61"/>
      <c r="N18" s="61"/>
      <c r="O18" s="61"/>
      <c r="P18" s="61"/>
      <c r="Q18" s="61"/>
      <c r="R18" s="61"/>
      <c r="S18" s="61"/>
      <c r="T18" s="61"/>
    </row>
    <row r="19" spans="1:20" x14ac:dyDescent="0.5">
      <c r="A19" s="182">
        <v>14</v>
      </c>
      <c r="B19" s="183" t="str">
        <f>BEGINBLAD!C18</f>
        <v>leerling 14</v>
      </c>
      <c r="G19" s="63"/>
      <c r="H19" s="63"/>
      <c r="I19" s="63"/>
      <c r="J19" s="63"/>
      <c r="K19" s="61"/>
      <c r="L19" s="63"/>
      <c r="M19" s="61"/>
      <c r="N19" s="61"/>
      <c r="O19" s="63"/>
      <c r="P19" s="61"/>
      <c r="Q19" s="61"/>
      <c r="R19" s="61"/>
      <c r="S19" s="61"/>
      <c r="T19" s="61"/>
    </row>
    <row r="20" spans="1:20" x14ac:dyDescent="0.5">
      <c r="A20" s="182">
        <v>15</v>
      </c>
      <c r="B20" s="183" t="str">
        <f>BEGINBLAD!C19</f>
        <v>leerling 15</v>
      </c>
      <c r="G20" s="64"/>
      <c r="H20" s="64"/>
      <c r="I20" s="65"/>
      <c r="J20" s="65"/>
      <c r="K20" s="61"/>
      <c r="L20" s="64"/>
      <c r="M20" s="61"/>
      <c r="N20" s="61"/>
      <c r="O20" s="65"/>
      <c r="P20" s="61"/>
      <c r="Q20" s="61"/>
      <c r="R20" s="61"/>
      <c r="S20" s="61"/>
      <c r="T20" s="61"/>
    </row>
    <row r="21" spans="1:20" x14ac:dyDescent="0.5">
      <c r="A21" s="182">
        <v>16</v>
      </c>
      <c r="B21" s="183" t="str">
        <f>BEGINBLAD!C20</f>
        <v>leerling 16</v>
      </c>
      <c r="G21" s="61"/>
      <c r="H21" s="61"/>
      <c r="I21" s="61"/>
      <c r="J21" s="61"/>
      <c r="K21" s="61"/>
      <c r="L21" s="61"/>
      <c r="M21" s="61"/>
      <c r="N21" s="61"/>
      <c r="O21" s="61"/>
      <c r="P21" s="61"/>
      <c r="Q21" s="61"/>
      <c r="R21" s="61"/>
      <c r="S21" s="61"/>
      <c r="T21" s="61"/>
    </row>
    <row r="22" spans="1:20" x14ac:dyDescent="0.5">
      <c r="A22" s="182">
        <v>17</v>
      </c>
      <c r="B22" s="183" t="str">
        <f>BEGINBLAD!C21</f>
        <v>leerling 17</v>
      </c>
      <c r="G22" s="61"/>
      <c r="H22" s="61"/>
      <c r="I22" s="61"/>
      <c r="J22" s="61"/>
      <c r="K22" s="61"/>
      <c r="L22" s="61"/>
      <c r="M22" s="61"/>
      <c r="N22" s="61"/>
      <c r="O22" s="61"/>
      <c r="P22" s="61"/>
      <c r="Q22" s="61"/>
      <c r="R22" s="61"/>
      <c r="S22" s="61"/>
      <c r="T22" s="61"/>
    </row>
    <row r="23" spans="1:20" ht="15" customHeight="1" x14ac:dyDescent="0.5">
      <c r="A23" s="182">
        <v>18</v>
      </c>
      <c r="B23" s="183" t="str">
        <f>BEGINBLAD!C22</f>
        <v>leerling 18</v>
      </c>
    </row>
    <row r="24" spans="1:20" x14ac:dyDescent="0.5">
      <c r="A24" s="182">
        <v>19</v>
      </c>
      <c r="B24" s="183" t="str">
        <f>BEGINBLAD!C23</f>
        <v>leerling 19</v>
      </c>
    </row>
    <row r="25" spans="1:20" x14ac:dyDescent="0.5">
      <c r="A25" s="182">
        <v>20</v>
      </c>
      <c r="B25" s="183" t="str">
        <f>BEGINBLAD!C24</f>
        <v>leerling 20</v>
      </c>
    </row>
    <row r="26" spans="1:20" x14ac:dyDescent="0.5">
      <c r="A26" s="182">
        <v>21</v>
      </c>
      <c r="B26" s="183" t="str">
        <f>BEGINBLAD!C25</f>
        <v>leerling 21</v>
      </c>
    </row>
    <row r="27" spans="1:20" x14ac:dyDescent="0.5">
      <c r="A27" s="182">
        <v>22</v>
      </c>
      <c r="B27" s="183" t="str">
        <f>BEGINBLAD!C26</f>
        <v>leerling 22</v>
      </c>
    </row>
    <row r="28" spans="1:20" ht="15.75" customHeight="1" x14ac:dyDescent="0.5">
      <c r="A28" s="182">
        <v>23</v>
      </c>
      <c r="B28" s="183" t="str">
        <f>BEGINBLAD!C27</f>
        <v>leerling 23</v>
      </c>
    </row>
    <row r="29" spans="1:20" x14ac:dyDescent="0.5">
      <c r="A29" s="182">
        <v>24</v>
      </c>
      <c r="B29" s="183" t="str">
        <f>BEGINBLAD!C28</f>
        <v>leerling 24</v>
      </c>
    </row>
    <row r="30" spans="1:20" x14ac:dyDescent="0.5">
      <c r="A30" s="182">
        <v>25</v>
      </c>
      <c r="B30" s="183" t="str">
        <f>BEGINBLAD!C29</f>
        <v>leerling 25</v>
      </c>
    </row>
    <row r="31" spans="1:20" x14ac:dyDescent="0.5">
      <c r="A31" s="182">
        <v>26</v>
      </c>
      <c r="B31" s="183" t="str">
        <f>BEGINBLAD!C30</f>
        <v>leerling 26</v>
      </c>
    </row>
    <row r="32" spans="1:20" x14ac:dyDescent="0.5">
      <c r="A32" s="182">
        <v>27</v>
      </c>
      <c r="B32" s="183">
        <f>BEGINBLAD!C31</f>
        <v>0</v>
      </c>
    </row>
    <row r="33" spans="1:2" x14ac:dyDescent="0.5">
      <c r="A33" s="182">
        <v>28</v>
      </c>
      <c r="B33" s="183">
        <f>BEGINBLAD!C32</f>
        <v>0</v>
      </c>
    </row>
    <row r="34" spans="1:2" x14ac:dyDescent="0.5">
      <c r="A34" s="182">
        <v>29</v>
      </c>
      <c r="B34" s="183">
        <f>BEGINBLAD!C33</f>
        <v>0</v>
      </c>
    </row>
    <row r="35" spans="1:2" x14ac:dyDescent="0.5">
      <c r="A35" s="182">
        <v>30</v>
      </c>
      <c r="B35" s="183">
        <f>BEGINBLAD!C34</f>
        <v>0</v>
      </c>
    </row>
    <row r="36" spans="1:2" x14ac:dyDescent="0.5">
      <c r="A36" s="182">
        <v>31</v>
      </c>
      <c r="B36" s="183">
        <f>BEGINBLAD!C35</f>
        <v>0</v>
      </c>
    </row>
    <row r="37" spans="1:2" x14ac:dyDescent="0.5">
      <c r="A37" s="182">
        <v>32</v>
      </c>
      <c r="B37" s="183">
        <f>BEGINBLAD!C36</f>
        <v>0</v>
      </c>
    </row>
    <row r="38" spans="1:2" x14ac:dyDescent="0.5">
      <c r="A38" s="182">
        <v>33</v>
      </c>
      <c r="B38" s="183">
        <f>BEGINBLAD!C37</f>
        <v>0</v>
      </c>
    </row>
    <row r="39" spans="1:2" x14ac:dyDescent="0.5">
      <c r="A39" s="182">
        <v>34</v>
      </c>
      <c r="B39" s="183">
        <f>BEGINBLAD!C38</f>
        <v>0</v>
      </c>
    </row>
    <row r="40" spans="1:2" x14ac:dyDescent="0.5">
      <c r="A40" s="182">
        <v>35</v>
      </c>
      <c r="B40" s="183">
        <f>BEGINBLAD!C39</f>
        <v>0</v>
      </c>
    </row>
    <row r="41" spans="1:2" x14ac:dyDescent="0.5">
      <c r="A41" s="182">
        <v>36</v>
      </c>
      <c r="B41" s="183">
        <f>BEGINBLAD!C40</f>
        <v>0</v>
      </c>
    </row>
    <row r="42" spans="1:2" x14ac:dyDescent="0.5">
      <c r="A42" s="66"/>
      <c r="B42" s="67"/>
    </row>
  </sheetData>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7" orientation="landscape" horizontalDpi="4294967293" r:id="rId1"/>
  <headerFooter alignWithMargins="0">
    <oddHeader>&amp;C&amp;14DL - DLE</oddHeader>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CCFF"/>
    <pageSetUpPr fitToPage="1"/>
  </sheetPr>
  <dimension ref="A1:BE62"/>
  <sheetViews>
    <sheetView showGridLines="0" showRowColHeaders="0" zoomScaleNormal="100" workbookViewId="0"/>
  </sheetViews>
  <sheetFormatPr defaultColWidth="9.1796875" defaultRowHeight="12.5" x14ac:dyDescent="0.25"/>
  <cols>
    <col min="1" max="1" width="9.1796875" style="87"/>
    <col min="2" max="2" width="4.7265625" style="679" bestFit="1" customWidth="1"/>
    <col min="3" max="3" width="20.7265625" style="680" customWidth="1"/>
    <col min="4" max="8" width="5.7265625" style="463" customWidth="1"/>
    <col min="9" max="10" width="5.7265625" style="463" hidden="1" customWidth="1"/>
    <col min="11" max="16" width="5.7265625" style="463" customWidth="1"/>
    <col min="17" max="17" width="5.7265625" style="465" customWidth="1"/>
    <col min="18" max="22" width="5.7265625" style="463" customWidth="1"/>
    <col min="23" max="23" width="5.7265625" style="465" customWidth="1"/>
    <col min="24" max="24" width="2.453125" style="463" customWidth="1"/>
    <col min="25" max="32" width="4.7265625" style="463" customWidth="1"/>
    <col min="33" max="33" width="4.7265625" style="681" customWidth="1"/>
    <col min="34" max="39" width="4.7265625" style="87" customWidth="1"/>
    <col min="40" max="40" width="2.453125" style="87" customWidth="1"/>
    <col min="41" max="42" width="9.1796875" style="87"/>
    <col min="43" max="56" width="9.1796875" style="161"/>
    <col min="57" max="16384" width="9.1796875" style="87"/>
  </cols>
  <sheetData>
    <row r="1" spans="1:57" ht="44.25" customHeight="1" x14ac:dyDescent="0.25"/>
    <row r="2" spans="1:57" ht="19.5" x14ac:dyDescent="0.25">
      <c r="B2" s="835" t="str">
        <f>BEGINBLAD!$I$3</f>
        <v>groep 7</v>
      </c>
      <c r="C2" s="835"/>
      <c r="D2" s="745"/>
      <c r="F2" s="160"/>
      <c r="G2" s="160"/>
      <c r="H2" s="160"/>
      <c r="I2" s="160"/>
      <c r="J2" s="160"/>
      <c r="K2" s="160"/>
      <c r="L2" s="160"/>
      <c r="M2" s="160"/>
      <c r="N2" s="682"/>
      <c r="O2" s="683"/>
      <c r="P2" s="683"/>
      <c r="Q2" s="683"/>
      <c r="R2" s="683"/>
      <c r="S2" s="683"/>
      <c r="T2" s="683"/>
      <c r="U2" s="683"/>
      <c r="V2" s="683"/>
      <c r="W2" s="683"/>
      <c r="X2" s="683"/>
      <c r="Y2" s="683"/>
      <c r="Z2" s="683"/>
      <c r="AA2" s="683"/>
      <c r="AB2" s="683"/>
      <c r="AC2" s="683"/>
      <c r="AD2" s="683"/>
      <c r="AE2" s="683"/>
    </row>
    <row r="3" spans="1:57" s="127" customFormat="1" ht="34.5" customHeight="1" x14ac:dyDescent="0.25">
      <c r="B3" s="684"/>
      <c r="C3" s="685"/>
      <c r="D3" s="186"/>
      <c r="E3" s="465"/>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465"/>
      <c r="AG3" s="686"/>
      <c r="AQ3" s="461"/>
      <c r="AR3" s="461"/>
      <c r="AS3" s="461"/>
      <c r="AT3" s="461"/>
      <c r="AU3" s="461"/>
      <c r="AV3" s="461"/>
      <c r="AW3" s="461"/>
      <c r="AX3" s="461"/>
      <c r="AY3" s="461"/>
      <c r="AZ3" s="461"/>
      <c r="BA3" s="461"/>
      <c r="BB3" s="461"/>
      <c r="BC3" s="461"/>
      <c r="BD3" s="461"/>
    </row>
    <row r="4" spans="1:57" ht="21.5" x14ac:dyDescent="0.25">
      <c r="C4" s="523"/>
      <c r="D4" s="842" t="s">
        <v>42</v>
      </c>
      <c r="E4" s="842"/>
      <c r="F4" s="842"/>
      <c r="G4" s="842"/>
      <c r="H4" s="842"/>
      <c r="I4" s="683"/>
      <c r="J4" s="683"/>
      <c r="K4" s="683"/>
      <c r="L4" s="843" t="s">
        <v>43</v>
      </c>
      <c r="M4" s="843"/>
      <c r="N4" s="843"/>
      <c r="O4" s="843"/>
      <c r="P4" s="843"/>
      <c r="Q4" s="687"/>
      <c r="R4" s="844" t="s">
        <v>44</v>
      </c>
      <c r="S4" s="844"/>
      <c r="T4" s="844"/>
      <c r="U4" s="844"/>
      <c r="V4" s="844"/>
      <c r="W4" s="687"/>
      <c r="X4" s="683"/>
      <c r="Y4" s="688"/>
      <c r="Z4" s="687"/>
      <c r="AA4" s="687"/>
      <c r="AB4" s="687"/>
      <c r="AC4" s="687"/>
      <c r="AD4" s="687"/>
      <c r="AE4" s="687"/>
      <c r="AF4" s="130"/>
      <c r="AG4" s="688"/>
      <c r="AH4" s="688"/>
      <c r="AI4" s="688"/>
      <c r="AJ4" s="688"/>
      <c r="AK4" s="689"/>
      <c r="AL4" s="689"/>
      <c r="AM4" s="689"/>
      <c r="AN4" s="689"/>
    </row>
    <row r="5" spans="1:57" ht="13" thickBot="1" x14ac:dyDescent="0.3">
      <c r="X5" s="465"/>
    </row>
    <row r="6" spans="1:57" ht="94" x14ac:dyDescent="0.25">
      <c r="B6" s="836" t="s">
        <v>90</v>
      </c>
      <c r="C6" s="837"/>
      <c r="D6" s="692" t="s">
        <v>91</v>
      </c>
      <c r="E6" s="692" t="s">
        <v>8</v>
      </c>
      <c r="F6" s="692" t="s">
        <v>3</v>
      </c>
      <c r="G6" s="692" t="s">
        <v>4</v>
      </c>
      <c r="H6" s="692" t="s">
        <v>101</v>
      </c>
      <c r="I6" s="693" t="s">
        <v>0</v>
      </c>
      <c r="J6" s="694" t="s">
        <v>6</v>
      </c>
      <c r="K6" s="695"/>
      <c r="L6" s="692" t="s">
        <v>91</v>
      </c>
      <c r="M6" s="692" t="s">
        <v>8</v>
      </c>
      <c r="N6" s="692" t="s">
        <v>3</v>
      </c>
      <c r="O6" s="692" t="s">
        <v>4</v>
      </c>
      <c r="P6" s="692" t="s">
        <v>101</v>
      </c>
      <c r="Q6" s="696"/>
      <c r="R6" s="692" t="s">
        <v>91</v>
      </c>
      <c r="S6" s="692" t="s">
        <v>8</v>
      </c>
      <c r="T6" s="692" t="s">
        <v>3</v>
      </c>
      <c r="U6" s="692" t="s">
        <v>4</v>
      </c>
      <c r="V6" s="692" t="s">
        <v>101</v>
      </c>
      <c r="W6" s="696"/>
      <c r="X6" s="696"/>
      <c r="Y6" s="841" t="s">
        <v>96</v>
      </c>
      <c r="Z6" s="841"/>
      <c r="AA6" s="841"/>
      <c r="AB6" s="841" t="s">
        <v>97</v>
      </c>
      <c r="AC6" s="841"/>
      <c r="AD6" s="841"/>
      <c r="AE6" s="845" t="s">
        <v>98</v>
      </c>
      <c r="AF6" s="845"/>
      <c r="AG6" s="845"/>
      <c r="AH6" s="834" t="s">
        <v>99</v>
      </c>
      <c r="AI6" s="834"/>
      <c r="AJ6" s="834"/>
      <c r="AK6" s="834" t="s">
        <v>100</v>
      </c>
      <c r="AL6" s="834"/>
      <c r="AM6" s="834"/>
      <c r="AN6" s="697"/>
      <c r="AQ6" s="698"/>
      <c r="AR6" s="698"/>
      <c r="AS6" s="698"/>
      <c r="AT6" s="698"/>
      <c r="AU6" s="698"/>
      <c r="AV6" s="698"/>
      <c r="AW6" s="699"/>
      <c r="AX6" s="699"/>
      <c r="AY6" s="699"/>
      <c r="AZ6" s="700"/>
      <c r="BA6" s="700"/>
      <c r="BB6" s="700"/>
      <c r="BC6" s="701"/>
      <c r="BD6" s="701"/>
      <c r="BE6" s="701"/>
    </row>
    <row r="7" spans="1:57" ht="13.5" hidden="1" customHeight="1" thickBot="1" x14ac:dyDescent="0.3">
      <c r="B7" s="690"/>
      <c r="C7" s="691" t="s">
        <v>92</v>
      </c>
      <c r="D7" s="702">
        <v>0</v>
      </c>
      <c r="E7" s="702">
        <v>0</v>
      </c>
      <c r="F7" s="702">
        <v>0</v>
      </c>
      <c r="G7" s="702">
        <v>0</v>
      </c>
      <c r="H7" s="702">
        <v>0</v>
      </c>
      <c r="I7" s="695"/>
      <c r="J7" s="695"/>
      <c r="K7" s="695"/>
      <c r="L7" s="702">
        <v>0</v>
      </c>
      <c r="M7" s="702">
        <v>0</v>
      </c>
      <c r="N7" s="702">
        <v>0</v>
      </c>
      <c r="O7" s="702">
        <v>0</v>
      </c>
      <c r="P7" s="702">
        <v>0</v>
      </c>
      <c r="Q7" s="102"/>
      <c r="R7" s="702">
        <v>0</v>
      </c>
      <c r="S7" s="702">
        <v>0</v>
      </c>
      <c r="T7" s="702">
        <v>0</v>
      </c>
      <c r="U7" s="702">
        <v>0</v>
      </c>
      <c r="V7" s="702">
        <v>0</v>
      </c>
      <c r="W7" s="102"/>
      <c r="X7" s="696"/>
      <c r="Y7" s="703"/>
      <c r="Z7" s="703"/>
      <c r="AA7" s="703"/>
      <c r="AB7" s="703"/>
      <c r="AC7" s="703"/>
      <c r="AD7" s="703"/>
      <c r="AE7" s="704"/>
      <c r="AF7" s="704"/>
      <c r="AG7" s="705"/>
      <c r="AH7" s="697"/>
      <c r="AI7" s="697"/>
      <c r="AJ7" s="697"/>
      <c r="AK7" s="697"/>
      <c r="AL7" s="697"/>
      <c r="AM7" s="697"/>
      <c r="AN7" s="697"/>
      <c r="AQ7" s="706"/>
      <c r="AR7" s="706"/>
      <c r="AS7" s="706"/>
      <c r="AT7" s="706"/>
      <c r="AU7" s="706"/>
      <c r="AV7" s="706"/>
      <c r="AW7" s="707"/>
      <c r="AX7" s="707"/>
      <c r="AY7" s="708"/>
    </row>
    <row r="8" spans="1:57" ht="19.5" customHeight="1" x14ac:dyDescent="0.25">
      <c r="B8" s="839" t="s">
        <v>93</v>
      </c>
      <c r="C8" s="840"/>
      <c r="D8" s="709">
        <f>'NIVEAU WAARDE - vorig jaar'!D49</f>
        <v>1.8</v>
      </c>
      <c r="E8" s="709">
        <f>'NIVEAU WAARDE - vorig jaar'!E49</f>
        <v>2.9</v>
      </c>
      <c r="F8" s="709">
        <f>'NIVEAU WAARDE - vorig jaar'!F49</f>
        <v>2.2000000000000002</v>
      </c>
      <c r="G8" s="709">
        <f>'NIVEAU WAARDE - vorig jaar'!G49</f>
        <v>1.6</v>
      </c>
      <c r="H8" s="709">
        <f>'NIVEAU WAARDE - vorig jaar'!H49</f>
        <v>2.8</v>
      </c>
      <c r="I8" s="710"/>
      <c r="J8" s="710"/>
      <c r="K8" s="710"/>
      <c r="L8" s="709">
        <f>'NIVEAU WAARDE - 1e toetsperiode'!D49</f>
        <v>2.2999999999999998</v>
      </c>
      <c r="M8" s="709">
        <f>'NIVEAU WAARDE - 1e toetsperiode'!E49</f>
        <v>3.3</v>
      </c>
      <c r="N8" s="709">
        <f>'NIVEAU WAARDE - 1e toetsperiode'!F49</f>
        <v>2</v>
      </c>
      <c r="O8" s="709">
        <f>'NIVEAU WAARDE - 1e toetsperiode'!G49</f>
        <v>2.6</v>
      </c>
      <c r="P8" s="709">
        <f>'NIVEAU WAARDE - 1e toetsperiode'!H49</f>
        <v>2.1</v>
      </c>
      <c r="Q8" s="711"/>
      <c r="R8" s="712" t="e">
        <f>'NIVEAU WAARDE - 2e toetsperiode'!D49</f>
        <v>#NUM!</v>
      </c>
      <c r="S8" s="712">
        <f>'NIVEAU WAARDE - 2e toetsperiode'!E49</f>
        <v>2.5</v>
      </c>
      <c r="T8" s="712">
        <f>'NIVEAU WAARDE - 2e toetsperiode'!F49</f>
        <v>2.2999999999999998</v>
      </c>
      <c r="U8" s="712">
        <f>'NIVEAU WAARDE - 2e toetsperiode'!G49</f>
        <v>2.6</v>
      </c>
      <c r="V8" s="712" t="e">
        <f>'NIVEAU WAARDE - 2e toetsperiode'!H49</f>
        <v>#NUM!</v>
      </c>
      <c r="W8" s="711"/>
      <c r="X8" s="465"/>
      <c r="Y8" s="713">
        <f>D8</f>
        <v>1.8</v>
      </c>
      <c r="Z8" s="713">
        <f>L8</f>
        <v>2.2999999999999998</v>
      </c>
      <c r="AA8" s="713" t="e">
        <f>R8</f>
        <v>#NUM!</v>
      </c>
      <c r="AB8" s="713">
        <f>E8</f>
        <v>2.9</v>
      </c>
      <c r="AC8" s="713">
        <f>M8</f>
        <v>3.3</v>
      </c>
      <c r="AD8" s="713">
        <f>S8</f>
        <v>2.5</v>
      </c>
      <c r="AE8" s="713">
        <f>F8</f>
        <v>2.2000000000000002</v>
      </c>
      <c r="AF8" s="713">
        <f>N8</f>
        <v>2</v>
      </c>
      <c r="AG8" s="713">
        <f>T8</f>
        <v>2.2999999999999998</v>
      </c>
      <c r="AH8" s="713">
        <f>G8</f>
        <v>1.6</v>
      </c>
      <c r="AI8" s="713">
        <f>O8</f>
        <v>2.6</v>
      </c>
      <c r="AJ8" s="713">
        <f>U8</f>
        <v>2.6</v>
      </c>
      <c r="AK8" s="713">
        <f>H8</f>
        <v>2.8</v>
      </c>
      <c r="AL8" s="713">
        <f>P8</f>
        <v>2.1</v>
      </c>
      <c r="AM8" s="713" t="e">
        <f>V8</f>
        <v>#NUM!</v>
      </c>
      <c r="AN8" s="697"/>
      <c r="AQ8" s="713"/>
      <c r="AR8" s="713"/>
      <c r="AS8" s="713"/>
      <c r="AT8" s="713"/>
      <c r="AU8" s="713"/>
      <c r="AV8" s="713"/>
      <c r="AW8" s="714"/>
      <c r="AX8" s="714"/>
      <c r="AY8" s="714"/>
      <c r="AZ8" s="714"/>
      <c r="BA8" s="714"/>
      <c r="BB8" s="714"/>
      <c r="BC8" s="714"/>
      <c r="BD8" s="714"/>
      <c r="BE8" s="715"/>
    </row>
    <row r="9" spans="1:57" ht="19.5" customHeight="1" x14ac:dyDescent="0.25">
      <c r="B9" s="839" t="s">
        <v>94</v>
      </c>
      <c r="C9" s="840"/>
      <c r="D9" s="709">
        <f>'NIVEAU WAARDE - vorig jaar'!D48</f>
        <v>3.6</v>
      </c>
      <c r="E9" s="709">
        <f>'NIVEAU WAARDE - vorig jaar'!E48</f>
        <v>4.7</v>
      </c>
      <c r="F9" s="709">
        <f>'NIVEAU WAARDE - vorig jaar'!F48</f>
        <v>4.2</v>
      </c>
      <c r="G9" s="709">
        <f>'NIVEAU WAARDE - vorig jaar'!G48</f>
        <v>4.0999999999999996</v>
      </c>
      <c r="H9" s="709">
        <f>'NIVEAU WAARDE - vorig jaar'!H48</f>
        <v>4.3</v>
      </c>
      <c r="I9" s="710"/>
      <c r="J9" s="710"/>
      <c r="K9" s="710"/>
      <c r="L9" s="709">
        <f>'NIVEAU WAARDE - 1e toetsperiode'!D48</f>
        <v>4.2</v>
      </c>
      <c r="M9" s="709">
        <f>'NIVEAU WAARDE - 1e toetsperiode'!E48</f>
        <v>4.5</v>
      </c>
      <c r="N9" s="709">
        <f>'NIVEAU WAARDE - 1e toetsperiode'!F48</f>
        <v>4.4000000000000004</v>
      </c>
      <c r="O9" s="709">
        <f>'NIVEAU WAARDE - 1e toetsperiode'!G48</f>
        <v>4.7</v>
      </c>
      <c r="P9" s="709">
        <f>'NIVEAU WAARDE - 1e toetsperiode'!H48</f>
        <v>4.0999999999999996</v>
      </c>
      <c r="Q9" s="711"/>
      <c r="R9" s="712" t="e">
        <f>'NIVEAU WAARDE - 2e toetsperiode'!D48</f>
        <v>#NUM!</v>
      </c>
      <c r="S9" s="712">
        <f>'NIVEAU WAARDE - 2e toetsperiode'!E48</f>
        <v>4.9000000000000004</v>
      </c>
      <c r="T9" s="712">
        <f>'NIVEAU WAARDE - 2e toetsperiode'!F48</f>
        <v>3.6</v>
      </c>
      <c r="U9" s="712">
        <f>'NIVEAU WAARDE - 2e toetsperiode'!G48</f>
        <v>4.3</v>
      </c>
      <c r="V9" s="712" t="e">
        <f>'NIVEAU WAARDE - 2e toetsperiode'!H48</f>
        <v>#NUM!</v>
      </c>
      <c r="W9" s="711"/>
      <c r="X9" s="465"/>
      <c r="Y9" s="713">
        <f>D9</f>
        <v>3.6</v>
      </c>
      <c r="Z9" s="713">
        <f>L9</f>
        <v>4.2</v>
      </c>
      <c r="AA9" s="713" t="e">
        <f>R9</f>
        <v>#NUM!</v>
      </c>
      <c r="AB9" s="713">
        <f>E9</f>
        <v>4.7</v>
      </c>
      <c r="AC9" s="713">
        <f>M9</f>
        <v>4.5</v>
      </c>
      <c r="AD9" s="713">
        <f>S9</f>
        <v>4.9000000000000004</v>
      </c>
      <c r="AE9" s="713">
        <f>F9</f>
        <v>4.2</v>
      </c>
      <c r="AF9" s="713">
        <f>N9</f>
        <v>4.4000000000000004</v>
      </c>
      <c r="AG9" s="713">
        <f>T9</f>
        <v>3.6</v>
      </c>
      <c r="AH9" s="713">
        <f>G9</f>
        <v>4.0999999999999996</v>
      </c>
      <c r="AI9" s="713">
        <f>O9</f>
        <v>4.7</v>
      </c>
      <c r="AJ9" s="713">
        <f>U9</f>
        <v>4.3</v>
      </c>
      <c r="AK9" s="713">
        <f>H9</f>
        <v>4.3</v>
      </c>
      <c r="AL9" s="713">
        <f>P9</f>
        <v>4.0999999999999996</v>
      </c>
      <c r="AM9" s="713" t="e">
        <f>V9</f>
        <v>#NUM!</v>
      </c>
      <c r="AN9" s="697"/>
      <c r="AQ9" s="467" t="s">
        <v>117</v>
      </c>
      <c r="AR9" s="467" t="s">
        <v>118</v>
      </c>
      <c r="AS9" s="467" t="s">
        <v>119</v>
      </c>
      <c r="AT9" s="467" t="s">
        <v>120</v>
      </c>
      <c r="AU9" s="467" t="s">
        <v>121</v>
      </c>
      <c r="AV9" s="467" t="s">
        <v>122</v>
      </c>
      <c r="AW9" s="714"/>
      <c r="AX9" s="714"/>
      <c r="AY9" s="714"/>
      <c r="AZ9" s="714"/>
      <c r="BA9" s="714"/>
      <c r="BB9" s="714"/>
      <c r="BC9" s="714"/>
      <c r="BD9" s="714"/>
      <c r="BE9" s="715"/>
    </row>
    <row r="10" spans="1:57" s="716" customFormat="1" ht="19.5" customHeight="1" x14ac:dyDescent="0.25">
      <c r="B10" s="717"/>
      <c r="C10" s="718" t="s">
        <v>92</v>
      </c>
      <c r="D10" s="188">
        <v>2</v>
      </c>
      <c r="E10" s="188">
        <v>2</v>
      </c>
      <c r="F10" s="188">
        <v>2</v>
      </c>
      <c r="G10" s="188">
        <v>2</v>
      </c>
      <c r="H10" s="188">
        <v>2</v>
      </c>
      <c r="I10" s="719"/>
      <c r="J10" s="719"/>
      <c r="K10" s="719"/>
      <c r="L10" s="720">
        <v>2</v>
      </c>
      <c r="M10" s="720">
        <v>2</v>
      </c>
      <c r="N10" s="720">
        <v>2</v>
      </c>
      <c r="O10" s="720">
        <v>2</v>
      </c>
      <c r="P10" s="720">
        <v>2</v>
      </c>
      <c r="Q10" s="188"/>
      <c r="R10" s="188">
        <v>2</v>
      </c>
      <c r="S10" s="188">
        <v>2</v>
      </c>
      <c r="T10" s="188">
        <v>2</v>
      </c>
      <c r="U10" s="188">
        <v>2</v>
      </c>
      <c r="V10" s="188">
        <v>2</v>
      </c>
      <c r="W10" s="188"/>
      <c r="X10" s="719"/>
      <c r="Y10" s="199">
        <v>2</v>
      </c>
      <c r="Z10" s="199">
        <v>2</v>
      </c>
      <c r="AA10" s="199">
        <v>2</v>
      </c>
      <c r="AB10" s="199">
        <v>2</v>
      </c>
      <c r="AC10" s="199">
        <v>2</v>
      </c>
      <c r="AD10" s="199">
        <v>2</v>
      </c>
      <c r="AE10" s="199">
        <v>2</v>
      </c>
      <c r="AF10" s="199">
        <v>2</v>
      </c>
      <c r="AG10" s="721">
        <v>2</v>
      </c>
      <c r="AH10" s="722">
        <v>2</v>
      </c>
      <c r="AI10" s="722">
        <v>2</v>
      </c>
      <c r="AJ10" s="722">
        <v>2</v>
      </c>
      <c r="AK10" s="722">
        <v>2</v>
      </c>
      <c r="AL10" s="722">
        <v>2</v>
      </c>
      <c r="AM10" s="722">
        <v>2</v>
      </c>
      <c r="AN10" s="722"/>
      <c r="AQ10" s="199">
        <v>0.5</v>
      </c>
      <c r="AR10" s="199">
        <v>1.5</v>
      </c>
      <c r="AS10" s="199">
        <v>2.4</v>
      </c>
      <c r="AT10" s="199">
        <v>3.3</v>
      </c>
      <c r="AU10" s="199">
        <v>4.2</v>
      </c>
      <c r="AV10" s="199">
        <v>5</v>
      </c>
      <c r="AW10" s="461"/>
      <c r="AX10" s="461"/>
      <c r="AY10" s="461"/>
      <c r="AZ10" s="461"/>
      <c r="BA10" s="461"/>
      <c r="BB10" s="461"/>
      <c r="BC10" s="461"/>
      <c r="BD10" s="461"/>
    </row>
    <row r="11" spans="1:57" s="723" customFormat="1" ht="27.75" customHeight="1" x14ac:dyDescent="0.25">
      <c r="B11" s="717"/>
      <c r="C11" s="718" t="s">
        <v>95</v>
      </c>
      <c r="D11" s="188">
        <v>4</v>
      </c>
      <c r="E11" s="188">
        <v>4</v>
      </c>
      <c r="F11" s="188">
        <v>4</v>
      </c>
      <c r="G11" s="188">
        <v>4</v>
      </c>
      <c r="H11" s="188">
        <v>4</v>
      </c>
      <c r="I11" s="405"/>
      <c r="J11" s="405"/>
      <c r="K11" s="405"/>
      <c r="L11" s="720">
        <v>4</v>
      </c>
      <c r="M11" s="720">
        <v>4</v>
      </c>
      <c r="N11" s="720">
        <v>4</v>
      </c>
      <c r="O11" s="720">
        <v>4</v>
      </c>
      <c r="P11" s="720">
        <v>4</v>
      </c>
      <c r="Q11" s="188"/>
      <c r="R11" s="188">
        <v>4</v>
      </c>
      <c r="S11" s="188">
        <v>4</v>
      </c>
      <c r="T11" s="188">
        <v>4</v>
      </c>
      <c r="U11" s="188">
        <v>4</v>
      </c>
      <c r="V11" s="188">
        <v>4</v>
      </c>
      <c r="W11" s="188"/>
      <c r="X11" s="719"/>
      <c r="Y11" s="467">
        <v>4</v>
      </c>
      <c r="Z11" s="467">
        <v>4</v>
      </c>
      <c r="AA11" s="467">
        <v>4</v>
      </c>
      <c r="AB11" s="467">
        <v>4</v>
      </c>
      <c r="AC11" s="467">
        <v>4</v>
      </c>
      <c r="AD11" s="467">
        <v>4</v>
      </c>
      <c r="AE11" s="467">
        <v>4</v>
      </c>
      <c r="AF11" s="467">
        <v>4</v>
      </c>
      <c r="AG11" s="724">
        <v>4</v>
      </c>
      <c r="AH11" s="697">
        <v>4</v>
      </c>
      <c r="AI11" s="697">
        <v>4</v>
      </c>
      <c r="AJ11" s="697">
        <v>4</v>
      </c>
      <c r="AK11" s="697">
        <v>4</v>
      </c>
      <c r="AL11" s="697">
        <v>4</v>
      </c>
      <c r="AM11" s="697">
        <v>4</v>
      </c>
      <c r="AN11" s="697"/>
      <c r="AQ11" s="697"/>
      <c r="AR11" s="697"/>
      <c r="AS11" s="697"/>
      <c r="AT11" s="697"/>
      <c r="AU11" s="697"/>
      <c r="AV11" s="697"/>
      <c r="AW11" s="161"/>
      <c r="AX11" s="161"/>
      <c r="AY11" s="161"/>
      <c r="AZ11" s="161"/>
      <c r="BA11" s="161"/>
      <c r="BB11" s="161"/>
      <c r="BC11" s="161"/>
      <c r="BD11" s="161"/>
    </row>
    <row r="12" spans="1:57" s="716" customFormat="1" ht="10" customHeight="1" x14ac:dyDescent="0.25">
      <c r="A12" s="725"/>
      <c r="B12" s="717"/>
      <c r="C12" s="718"/>
      <c r="D12" s="188"/>
      <c r="E12" s="188"/>
      <c r="F12" s="188"/>
      <c r="G12" s="188"/>
      <c r="H12" s="188"/>
      <c r="I12" s="726"/>
      <c r="J12" s="726"/>
      <c r="K12" s="726"/>
      <c r="L12" s="188"/>
      <c r="M12" s="188"/>
      <c r="N12" s="188"/>
      <c r="O12" s="188"/>
      <c r="P12" s="188"/>
      <c r="Q12" s="188"/>
      <c r="R12" s="188"/>
      <c r="S12" s="188"/>
      <c r="T12" s="188"/>
      <c r="U12" s="188"/>
      <c r="V12" s="188"/>
      <c r="W12" s="188"/>
      <c r="X12" s="719"/>
      <c r="Y12" s="199">
        <v>2</v>
      </c>
      <c r="Z12" s="199">
        <v>2</v>
      </c>
      <c r="AA12" s="199">
        <v>2</v>
      </c>
      <c r="AB12" s="199">
        <v>2</v>
      </c>
      <c r="AC12" s="199">
        <v>2</v>
      </c>
      <c r="AD12" s="199">
        <v>2</v>
      </c>
      <c r="AE12" s="199">
        <v>2</v>
      </c>
      <c r="AF12" s="199">
        <v>2</v>
      </c>
      <c r="AG12" s="721">
        <v>2</v>
      </c>
      <c r="AH12" s="722">
        <v>2</v>
      </c>
      <c r="AI12" s="722">
        <v>2</v>
      </c>
      <c r="AJ12" s="722">
        <v>2</v>
      </c>
      <c r="AK12" s="722">
        <v>2</v>
      </c>
      <c r="AL12" s="722">
        <v>2</v>
      </c>
      <c r="AM12" s="722">
        <v>2</v>
      </c>
      <c r="AN12" s="722"/>
      <c r="AQ12" s="461"/>
      <c r="AR12" s="461"/>
      <c r="AS12" s="461"/>
      <c r="AT12" s="461"/>
      <c r="AU12" s="461"/>
      <c r="AV12" s="461"/>
      <c r="AW12" s="461"/>
      <c r="AX12" s="461"/>
      <c r="AY12" s="461"/>
      <c r="AZ12" s="461"/>
      <c r="BA12" s="461"/>
      <c r="BB12" s="461"/>
      <c r="BC12" s="461"/>
      <c r="BD12" s="461"/>
    </row>
    <row r="13" spans="1:57" s="716" customFormat="1" ht="10" customHeight="1" x14ac:dyDescent="0.25">
      <c r="A13" s="133"/>
      <c r="B13" s="727"/>
      <c r="C13" s="728"/>
      <c r="D13" s="188"/>
      <c r="E13" s="188"/>
      <c r="F13" s="188"/>
      <c r="G13" s="188"/>
      <c r="H13" s="188"/>
      <c r="I13" s="726"/>
      <c r="J13" s="726"/>
      <c r="K13" s="726"/>
      <c r="L13" s="188"/>
      <c r="M13" s="188"/>
      <c r="N13" s="188"/>
      <c r="O13" s="188"/>
      <c r="P13" s="188"/>
      <c r="Q13" s="188"/>
      <c r="R13" s="188"/>
      <c r="S13" s="188"/>
      <c r="T13" s="188"/>
      <c r="U13" s="188"/>
      <c r="V13" s="188"/>
      <c r="W13" s="188"/>
      <c r="X13" s="719"/>
      <c r="Y13" s="199">
        <v>4</v>
      </c>
      <c r="Z13" s="199">
        <v>4</v>
      </c>
      <c r="AA13" s="199">
        <v>4</v>
      </c>
      <c r="AB13" s="199">
        <v>4</v>
      </c>
      <c r="AC13" s="199">
        <v>4</v>
      </c>
      <c r="AD13" s="199">
        <v>4</v>
      </c>
      <c r="AE13" s="199">
        <v>4</v>
      </c>
      <c r="AF13" s="199">
        <v>4</v>
      </c>
      <c r="AG13" s="721">
        <v>4</v>
      </c>
      <c r="AH13" s="722">
        <v>4</v>
      </c>
      <c r="AI13" s="722">
        <v>4</v>
      </c>
      <c r="AJ13" s="722">
        <v>4</v>
      </c>
      <c r="AK13" s="722">
        <v>4</v>
      </c>
      <c r="AL13" s="722">
        <v>4</v>
      </c>
      <c r="AM13" s="722">
        <v>4</v>
      </c>
      <c r="AN13" s="722"/>
      <c r="AQ13" s="461"/>
      <c r="AR13" s="461"/>
      <c r="AS13" s="461"/>
      <c r="AT13" s="461"/>
      <c r="AU13" s="461"/>
      <c r="AV13" s="461"/>
      <c r="AW13" s="461"/>
      <c r="AX13" s="461"/>
      <c r="AY13" s="461"/>
      <c r="AZ13" s="461"/>
      <c r="BA13" s="461"/>
      <c r="BB13" s="461"/>
      <c r="BC13" s="461"/>
      <c r="BD13" s="461"/>
    </row>
    <row r="14" spans="1:57" ht="19.5" customHeight="1" x14ac:dyDescent="0.25">
      <c r="A14" s="727"/>
      <c r="B14" s="729"/>
      <c r="C14" s="728"/>
      <c r="D14" s="730"/>
      <c r="E14" s="731"/>
      <c r="F14" s="731"/>
      <c r="G14" s="731"/>
      <c r="H14" s="731"/>
      <c r="I14" s="732"/>
      <c r="J14" s="732"/>
      <c r="K14" s="732"/>
      <c r="L14" s="730"/>
      <c r="M14" s="731"/>
      <c r="N14" s="730"/>
      <c r="O14" s="730"/>
      <c r="P14" s="731"/>
      <c r="Q14" s="711"/>
      <c r="R14" s="730"/>
      <c r="S14" s="730"/>
      <c r="T14" s="730"/>
      <c r="U14" s="731"/>
      <c r="V14" s="730"/>
      <c r="W14" s="711"/>
      <c r="Y14" s="467"/>
      <c r="Z14" s="467"/>
      <c r="AA14" s="467"/>
      <c r="AB14" s="673"/>
      <c r="AC14" s="673"/>
      <c r="AD14" s="673"/>
      <c r="AE14" s="467"/>
      <c r="AF14" s="467"/>
      <c r="AG14" s="724"/>
      <c r="AH14" s="697"/>
      <c r="AI14" s="697"/>
      <c r="AJ14" s="697"/>
      <c r="AK14" s="697"/>
      <c r="AL14" s="697"/>
      <c r="AM14" s="697"/>
      <c r="AN14" s="697"/>
    </row>
    <row r="15" spans="1:57" ht="19.5" customHeight="1" x14ac:dyDescent="0.25">
      <c r="A15" s="733"/>
      <c r="B15" s="734"/>
      <c r="C15" s="728"/>
      <c r="D15" s="730"/>
      <c r="E15" s="731"/>
      <c r="F15" s="731"/>
      <c r="G15" s="731"/>
      <c r="H15" s="731"/>
      <c r="I15" s="732"/>
      <c r="J15" s="732"/>
      <c r="K15" s="732"/>
      <c r="L15" s="730"/>
      <c r="M15" s="731"/>
      <c r="N15" s="730"/>
      <c r="O15" s="730"/>
      <c r="P15" s="731"/>
      <c r="Q15" s="711"/>
      <c r="R15" s="730"/>
      <c r="S15" s="730"/>
      <c r="T15" s="730"/>
      <c r="U15" s="731"/>
      <c r="V15" s="730"/>
      <c r="W15" s="711"/>
      <c r="Z15" s="102"/>
      <c r="AB15" s="102"/>
      <c r="AC15" s="102"/>
      <c r="AD15" s="102"/>
    </row>
    <row r="16" spans="1:57" ht="19.5" customHeight="1" x14ac:dyDescent="0.25">
      <c r="A16" s="733"/>
      <c r="B16" s="734"/>
      <c r="C16" s="728"/>
      <c r="D16" s="730"/>
      <c r="E16" s="731"/>
      <c r="F16" s="731"/>
      <c r="G16" s="731"/>
      <c r="H16" s="731"/>
      <c r="I16" s="732"/>
      <c r="J16" s="732"/>
      <c r="K16" s="732"/>
      <c r="L16" s="730"/>
      <c r="M16" s="731"/>
      <c r="N16" s="730"/>
      <c r="O16" s="730"/>
      <c r="P16" s="731"/>
      <c r="Q16" s="711"/>
      <c r="R16" s="730"/>
      <c r="S16" s="730"/>
      <c r="T16" s="730"/>
      <c r="U16" s="731"/>
      <c r="V16" s="730"/>
      <c r="W16" s="711"/>
      <c r="Z16" s="102"/>
      <c r="AB16" s="102"/>
      <c r="AC16" s="102"/>
      <c r="AD16" s="102"/>
    </row>
    <row r="17" spans="1:30" ht="19.5" customHeight="1" x14ac:dyDescent="0.25">
      <c r="C17" s="728"/>
      <c r="D17" s="730"/>
      <c r="E17" s="731"/>
      <c r="F17" s="731"/>
      <c r="G17" s="733"/>
      <c r="H17" s="729"/>
      <c r="I17" s="732"/>
      <c r="J17" s="732"/>
      <c r="K17" s="732"/>
      <c r="L17" s="730"/>
      <c r="M17" s="731"/>
      <c r="N17" s="730"/>
      <c r="O17" s="730"/>
      <c r="P17" s="731"/>
      <c r="Q17" s="732"/>
      <c r="R17" s="730"/>
      <c r="S17" s="730"/>
      <c r="T17" s="730"/>
      <c r="U17" s="731"/>
      <c r="V17" s="730"/>
      <c r="W17" s="711"/>
      <c r="AB17" s="102"/>
      <c r="AC17" s="102"/>
      <c r="AD17" s="102"/>
    </row>
    <row r="18" spans="1:30" ht="19.5" customHeight="1" x14ac:dyDescent="0.25">
      <c r="C18" s="728"/>
      <c r="D18" s="730"/>
      <c r="E18" s="731"/>
      <c r="F18" s="731"/>
      <c r="G18" s="718"/>
      <c r="H18" s="717"/>
      <c r="I18" s="732"/>
      <c r="J18" s="732"/>
      <c r="K18" s="732"/>
      <c r="L18" s="730"/>
      <c r="M18" s="731"/>
      <c r="N18" s="730"/>
      <c r="O18" s="730"/>
      <c r="P18" s="731"/>
      <c r="Q18" s="711"/>
      <c r="R18" s="730"/>
      <c r="S18" s="730"/>
      <c r="T18" s="730"/>
      <c r="U18" s="731"/>
      <c r="V18" s="730"/>
      <c r="W18" s="711"/>
      <c r="Y18" s="102"/>
    </row>
    <row r="19" spans="1:30" ht="19.5" customHeight="1" x14ac:dyDescent="0.25">
      <c r="C19" s="728"/>
      <c r="D19" s="730"/>
      <c r="E19" s="731"/>
      <c r="F19" s="731"/>
      <c r="G19" s="718"/>
      <c r="H19" s="735"/>
      <c r="I19" s="732"/>
      <c r="J19" s="732"/>
      <c r="K19" s="732"/>
      <c r="L19" s="730"/>
      <c r="M19" s="731"/>
      <c r="N19" s="730"/>
      <c r="O19" s="730"/>
      <c r="P19" s="731"/>
      <c r="Q19" s="711"/>
      <c r="R19" s="730"/>
      <c r="S19" s="730"/>
      <c r="T19" s="730"/>
      <c r="U19" s="731"/>
      <c r="V19" s="730"/>
      <c r="W19" s="711"/>
    </row>
    <row r="20" spans="1:30" ht="19.5" customHeight="1" x14ac:dyDescent="0.25">
      <c r="C20" s="728"/>
      <c r="D20" s="730"/>
      <c r="E20" s="731"/>
      <c r="F20" s="731"/>
      <c r="G20" s="718"/>
      <c r="H20" s="735"/>
      <c r="I20" s="732"/>
      <c r="J20" s="732"/>
      <c r="K20" s="732"/>
      <c r="L20" s="730"/>
      <c r="M20" s="731"/>
      <c r="N20" s="730"/>
      <c r="O20" s="730"/>
      <c r="P20" s="731"/>
      <c r="Q20" s="711"/>
      <c r="R20" s="730"/>
      <c r="S20" s="730"/>
      <c r="T20" s="730"/>
      <c r="U20" s="731"/>
      <c r="V20" s="730"/>
      <c r="W20" s="711"/>
      <c r="AA20" s="102"/>
    </row>
    <row r="21" spans="1:30" ht="19.5" customHeight="1" x14ac:dyDescent="0.25">
      <c r="C21" s="728"/>
      <c r="D21" s="730"/>
      <c r="E21" s="731"/>
      <c r="F21" s="731"/>
      <c r="G21" s="736"/>
      <c r="H21" s="735"/>
      <c r="I21" s="732"/>
      <c r="J21" s="732"/>
      <c r="K21" s="732"/>
      <c r="L21" s="730"/>
      <c r="M21" s="731"/>
      <c r="N21" s="730"/>
      <c r="O21" s="730"/>
      <c r="P21" s="731"/>
      <c r="Q21" s="711"/>
      <c r="R21" s="730"/>
      <c r="S21" s="730"/>
      <c r="T21" s="730"/>
      <c r="U21" s="731"/>
      <c r="V21" s="730"/>
      <c r="W21" s="711"/>
      <c r="Y21" s="102"/>
    </row>
    <row r="22" spans="1:30" ht="19.5" customHeight="1" x14ac:dyDescent="0.25">
      <c r="C22" s="728"/>
      <c r="D22" s="730"/>
      <c r="E22" s="731"/>
      <c r="F22" s="731"/>
      <c r="G22" s="718"/>
      <c r="H22" s="717"/>
      <c r="I22" s="732"/>
      <c r="J22" s="732"/>
      <c r="K22" s="732"/>
      <c r="L22" s="730"/>
      <c r="M22" s="731"/>
      <c r="N22" s="730"/>
      <c r="O22" s="730"/>
      <c r="P22" s="731"/>
      <c r="Q22" s="711"/>
      <c r="R22" s="730"/>
      <c r="S22" s="730"/>
      <c r="T22" s="730"/>
      <c r="U22" s="731"/>
      <c r="V22" s="730"/>
      <c r="W22" s="711"/>
      <c r="X22" s="102"/>
    </row>
    <row r="23" spans="1:30" ht="19.5" customHeight="1" x14ac:dyDescent="0.25">
      <c r="C23" s="728"/>
      <c r="D23" s="730"/>
      <c r="E23" s="731"/>
      <c r="F23" s="731"/>
      <c r="G23" s="133"/>
      <c r="H23" s="727"/>
      <c r="I23" s="732"/>
      <c r="J23" s="732"/>
      <c r="K23" s="732"/>
      <c r="L23" s="730"/>
      <c r="M23" s="731"/>
      <c r="N23" s="730"/>
      <c r="O23" s="730"/>
      <c r="P23" s="731"/>
      <c r="Q23" s="711"/>
      <c r="R23" s="730"/>
      <c r="S23" s="730"/>
      <c r="T23" s="730"/>
      <c r="U23" s="731"/>
      <c r="V23" s="730"/>
      <c r="W23" s="711"/>
      <c r="X23" s="102"/>
    </row>
    <row r="24" spans="1:30" ht="19.5" customHeight="1" x14ac:dyDescent="0.25">
      <c r="C24" s="728"/>
      <c r="D24" s="730"/>
      <c r="E24" s="731"/>
      <c r="F24" s="731"/>
      <c r="G24" s="133"/>
      <c r="H24" s="727"/>
      <c r="I24" s="732"/>
      <c r="J24" s="732"/>
      <c r="K24" s="732"/>
      <c r="L24" s="730"/>
      <c r="M24" s="731"/>
      <c r="N24" s="730"/>
      <c r="O24" s="730"/>
      <c r="P24" s="731"/>
      <c r="Q24" s="711"/>
      <c r="R24" s="730"/>
      <c r="S24" s="730"/>
      <c r="T24" s="730"/>
      <c r="U24" s="731"/>
      <c r="V24" s="730"/>
      <c r="W24" s="711"/>
      <c r="X24" s="102"/>
    </row>
    <row r="25" spans="1:30" ht="19.5" customHeight="1" x14ac:dyDescent="0.25">
      <c r="C25" s="728"/>
      <c r="D25" s="730"/>
      <c r="E25" s="731"/>
      <c r="F25" s="731"/>
      <c r="G25" s="133"/>
      <c r="H25" s="727"/>
      <c r="I25" s="732"/>
      <c r="J25" s="732"/>
      <c r="K25" s="732"/>
      <c r="L25" s="730"/>
      <c r="M25" s="731"/>
      <c r="N25" s="730"/>
      <c r="O25" s="730"/>
      <c r="P25" s="731"/>
      <c r="Q25" s="711"/>
      <c r="R25" s="730"/>
      <c r="S25" s="730"/>
      <c r="T25" s="730"/>
      <c r="U25" s="731"/>
      <c r="V25" s="730"/>
      <c r="W25" s="711"/>
      <c r="AA25" s="102"/>
    </row>
    <row r="26" spans="1:30" ht="19.5" customHeight="1" x14ac:dyDescent="0.25">
      <c r="C26" s="728"/>
      <c r="D26" s="730"/>
      <c r="E26" s="731"/>
      <c r="F26" s="731"/>
      <c r="G26" s="133"/>
      <c r="H26" s="727"/>
      <c r="I26" s="732"/>
      <c r="J26" s="732"/>
      <c r="K26" s="732"/>
      <c r="L26" s="730"/>
      <c r="M26" s="731"/>
      <c r="N26" s="730"/>
      <c r="O26" s="730"/>
      <c r="P26" s="731"/>
      <c r="Q26" s="711"/>
      <c r="R26" s="730"/>
      <c r="S26" s="730"/>
      <c r="T26" s="730"/>
      <c r="U26" s="731"/>
      <c r="V26" s="730"/>
      <c r="W26" s="711"/>
    </row>
    <row r="27" spans="1:30" ht="19.5" customHeight="1" x14ac:dyDescent="0.25">
      <c r="A27" s="133"/>
      <c r="B27" s="727"/>
      <c r="C27" s="728"/>
      <c r="D27" s="730"/>
      <c r="E27" s="731"/>
      <c r="F27" s="731"/>
      <c r="G27" s="731"/>
      <c r="H27" s="731"/>
      <c r="I27" s="732"/>
      <c r="J27" s="732"/>
      <c r="K27" s="732"/>
      <c r="L27" s="730"/>
      <c r="M27" s="731"/>
      <c r="N27" s="730"/>
      <c r="O27" s="730"/>
      <c r="P27" s="731"/>
      <c r="Q27" s="711"/>
      <c r="R27" s="730"/>
      <c r="S27" s="730"/>
      <c r="T27" s="730"/>
      <c r="U27" s="731"/>
      <c r="V27" s="730"/>
      <c r="W27" s="711"/>
    </row>
    <row r="28" spans="1:30" ht="19.5" customHeight="1" x14ac:dyDescent="0.25">
      <c r="A28" s="133"/>
      <c r="B28" s="727"/>
      <c r="C28" s="728"/>
      <c r="D28" s="730"/>
      <c r="E28" s="731"/>
      <c r="F28" s="731"/>
      <c r="G28" s="731"/>
      <c r="H28" s="731"/>
      <c r="I28" s="732"/>
      <c r="J28" s="732"/>
      <c r="K28" s="732"/>
      <c r="L28" s="730"/>
      <c r="M28" s="731"/>
      <c r="N28" s="730"/>
      <c r="O28" s="730"/>
      <c r="P28" s="731"/>
      <c r="Q28" s="711"/>
      <c r="R28" s="730"/>
      <c r="S28" s="730"/>
      <c r="T28" s="730"/>
      <c r="U28" s="731"/>
      <c r="V28" s="730"/>
      <c r="W28" s="711"/>
    </row>
    <row r="29" spans="1:30" ht="19.5" customHeight="1" x14ac:dyDescent="0.25">
      <c r="A29" s="133"/>
      <c r="B29" s="727"/>
      <c r="C29" s="728"/>
      <c r="D29" s="730"/>
      <c r="E29" s="731"/>
      <c r="F29" s="731"/>
      <c r="G29" s="731"/>
      <c r="H29" s="731"/>
      <c r="I29" s="732"/>
      <c r="J29" s="732"/>
      <c r="K29" s="732"/>
      <c r="L29" s="730"/>
      <c r="M29" s="731"/>
      <c r="N29" s="730"/>
      <c r="O29" s="730"/>
      <c r="P29" s="731"/>
      <c r="Q29" s="711"/>
      <c r="R29" s="730"/>
      <c r="S29" s="730"/>
      <c r="T29" s="730"/>
      <c r="U29" s="731"/>
      <c r="V29" s="730"/>
      <c r="W29" s="711"/>
    </row>
    <row r="30" spans="1:30" ht="19.5" customHeight="1" x14ac:dyDescent="0.25">
      <c r="A30" s="133"/>
      <c r="B30" s="727"/>
      <c r="C30" s="728"/>
      <c r="D30" s="730"/>
      <c r="E30" s="731"/>
      <c r="F30" s="731"/>
      <c r="G30" s="731"/>
      <c r="H30" s="731"/>
      <c r="I30" s="732"/>
      <c r="J30" s="732"/>
      <c r="K30" s="732"/>
      <c r="L30" s="730"/>
      <c r="M30" s="731"/>
      <c r="N30" s="730"/>
      <c r="O30" s="730"/>
      <c r="P30" s="731"/>
      <c r="Q30" s="711"/>
      <c r="R30" s="730"/>
      <c r="S30" s="730"/>
      <c r="T30" s="730"/>
      <c r="U30" s="731"/>
      <c r="V30" s="730"/>
      <c r="W30" s="711"/>
      <c r="AA30" s="102"/>
    </row>
    <row r="31" spans="1:30" ht="19.5" customHeight="1" x14ac:dyDescent="0.25">
      <c r="A31" s="133"/>
      <c r="B31" s="727"/>
      <c r="C31" s="728"/>
      <c r="D31" s="730"/>
      <c r="E31" s="731"/>
      <c r="F31" s="731"/>
      <c r="G31" s="731"/>
      <c r="H31" s="731"/>
      <c r="I31" s="732"/>
      <c r="J31" s="732"/>
      <c r="K31" s="732"/>
      <c r="L31" s="730"/>
      <c r="M31" s="731"/>
      <c r="N31" s="730"/>
      <c r="O31" s="730"/>
      <c r="P31" s="731"/>
      <c r="Q31" s="711"/>
      <c r="R31" s="730"/>
      <c r="S31" s="730"/>
      <c r="T31" s="730"/>
      <c r="U31" s="731"/>
      <c r="V31" s="730"/>
      <c r="W31" s="711"/>
    </row>
    <row r="32" spans="1:30" ht="19.5" customHeight="1" x14ac:dyDescent="0.25">
      <c r="A32" s="133"/>
      <c r="B32" s="727"/>
      <c r="C32" s="728"/>
      <c r="D32" s="730"/>
      <c r="E32" s="731"/>
      <c r="F32" s="731"/>
      <c r="G32" s="731"/>
      <c r="H32" s="731"/>
      <c r="I32" s="732"/>
      <c r="J32" s="732"/>
      <c r="K32" s="732"/>
      <c r="L32" s="730"/>
      <c r="M32" s="731"/>
      <c r="N32" s="730"/>
      <c r="O32" s="730"/>
      <c r="P32" s="731"/>
      <c r="Q32" s="711"/>
      <c r="R32" s="730"/>
      <c r="S32" s="730"/>
      <c r="T32" s="730"/>
      <c r="U32" s="731"/>
      <c r="V32" s="730"/>
      <c r="W32" s="711"/>
    </row>
    <row r="33" spans="1:27" ht="19.5" customHeight="1" x14ac:dyDescent="0.25">
      <c r="A33" s="133"/>
      <c r="B33" s="727"/>
      <c r="C33" s="728"/>
      <c r="D33" s="730"/>
      <c r="E33" s="731"/>
      <c r="F33" s="731"/>
      <c r="G33" s="731"/>
      <c r="H33" s="731"/>
      <c r="I33" s="732"/>
      <c r="J33" s="732"/>
      <c r="K33" s="732"/>
      <c r="L33" s="730"/>
      <c r="M33" s="731"/>
      <c r="N33" s="730"/>
      <c r="O33" s="730"/>
      <c r="P33" s="731"/>
      <c r="Q33" s="711"/>
      <c r="R33" s="730"/>
      <c r="S33" s="730"/>
      <c r="T33" s="730"/>
      <c r="U33" s="731"/>
      <c r="V33" s="730"/>
      <c r="W33" s="711"/>
    </row>
    <row r="34" spans="1:27" ht="19.5" customHeight="1" x14ac:dyDescent="0.25">
      <c r="A34" s="133"/>
      <c r="B34" s="727"/>
      <c r="C34" s="728"/>
      <c r="D34" s="730"/>
      <c r="E34" s="731"/>
      <c r="F34" s="731"/>
      <c r="G34" s="731"/>
      <c r="H34" s="731"/>
      <c r="I34" s="732"/>
      <c r="J34" s="732"/>
      <c r="K34" s="732"/>
      <c r="L34" s="730"/>
      <c r="M34" s="731"/>
      <c r="N34" s="730"/>
      <c r="O34" s="730"/>
      <c r="P34" s="731"/>
      <c r="Q34" s="711"/>
      <c r="R34" s="730"/>
      <c r="S34" s="730"/>
      <c r="T34" s="730"/>
      <c r="U34" s="731"/>
      <c r="V34" s="730"/>
      <c r="W34" s="711"/>
    </row>
    <row r="35" spans="1:27" ht="19.5" customHeight="1" x14ac:dyDescent="0.25">
      <c r="A35" s="133"/>
      <c r="B35" s="727"/>
      <c r="C35" s="728"/>
      <c r="D35" s="730"/>
      <c r="E35" s="731"/>
      <c r="F35" s="731"/>
      <c r="G35" s="731"/>
      <c r="H35" s="731"/>
      <c r="I35" s="732"/>
      <c r="J35" s="732"/>
      <c r="K35" s="732"/>
      <c r="L35" s="730"/>
      <c r="M35" s="731"/>
      <c r="N35" s="730"/>
      <c r="O35" s="730"/>
      <c r="P35" s="731"/>
      <c r="Q35" s="711"/>
      <c r="R35" s="730"/>
      <c r="S35" s="730"/>
      <c r="T35" s="730"/>
      <c r="U35" s="731"/>
      <c r="V35" s="730"/>
      <c r="W35" s="711"/>
    </row>
    <row r="36" spans="1:27" ht="19.5" customHeight="1" x14ac:dyDescent="0.25">
      <c r="A36" s="133"/>
      <c r="B36" s="727"/>
      <c r="C36" s="728"/>
      <c r="D36" s="730"/>
      <c r="E36" s="731"/>
      <c r="F36" s="731"/>
      <c r="G36" s="731"/>
      <c r="H36" s="731"/>
      <c r="I36" s="732"/>
      <c r="J36" s="732"/>
      <c r="K36" s="732"/>
      <c r="L36" s="730"/>
      <c r="M36" s="731"/>
      <c r="N36" s="730"/>
      <c r="O36" s="730"/>
      <c r="P36" s="731"/>
      <c r="Q36" s="711"/>
      <c r="R36" s="730"/>
      <c r="S36" s="730"/>
      <c r="T36" s="730"/>
      <c r="U36" s="731"/>
      <c r="V36" s="730"/>
      <c r="W36" s="711"/>
    </row>
    <row r="37" spans="1:27" ht="19.5" customHeight="1" x14ac:dyDescent="0.25">
      <c r="A37" s="133"/>
      <c r="B37" s="727"/>
      <c r="C37" s="728"/>
      <c r="D37" s="730"/>
      <c r="E37" s="731"/>
      <c r="F37" s="731"/>
      <c r="G37" s="731"/>
      <c r="H37" s="731"/>
      <c r="I37" s="732"/>
      <c r="J37" s="732"/>
      <c r="K37" s="732"/>
      <c r="L37" s="730"/>
      <c r="M37" s="731"/>
      <c r="N37" s="730"/>
      <c r="O37" s="730"/>
      <c r="P37" s="731"/>
      <c r="Q37" s="711"/>
      <c r="R37" s="730"/>
      <c r="S37" s="730"/>
      <c r="T37" s="730"/>
      <c r="U37" s="731"/>
      <c r="V37" s="730"/>
      <c r="W37" s="732"/>
    </row>
    <row r="38" spans="1:27" ht="19.5" customHeight="1" x14ac:dyDescent="0.25">
      <c r="A38" s="133"/>
      <c r="B38" s="727"/>
      <c r="C38" s="728"/>
      <c r="D38" s="730"/>
      <c r="E38" s="731"/>
      <c r="F38" s="731"/>
      <c r="G38" s="731"/>
      <c r="H38" s="731"/>
      <c r="I38" s="732"/>
      <c r="J38" s="732"/>
      <c r="K38" s="732"/>
      <c r="L38" s="730"/>
      <c r="M38" s="731"/>
      <c r="N38" s="730"/>
      <c r="O38" s="730"/>
      <c r="P38" s="731"/>
      <c r="Q38" s="711"/>
      <c r="R38" s="730"/>
      <c r="S38" s="730"/>
      <c r="T38" s="730"/>
      <c r="U38" s="731"/>
      <c r="V38" s="730"/>
      <c r="W38" s="711"/>
    </row>
    <row r="39" spans="1:27" ht="19.5" customHeight="1" x14ac:dyDescent="0.25">
      <c r="A39" s="133"/>
      <c r="B39" s="727"/>
      <c r="C39" s="728"/>
      <c r="D39" s="730"/>
      <c r="E39" s="730"/>
      <c r="F39" s="731"/>
      <c r="G39" s="730"/>
      <c r="H39" s="730"/>
      <c r="I39" s="732"/>
      <c r="J39" s="732"/>
      <c r="K39" s="732"/>
      <c r="L39" s="730"/>
      <c r="M39" s="730"/>
      <c r="N39" s="730"/>
      <c r="O39" s="730"/>
      <c r="P39" s="730"/>
      <c r="Q39" s="711"/>
      <c r="R39" s="730"/>
      <c r="S39" s="730"/>
      <c r="T39" s="730"/>
      <c r="U39" s="731"/>
      <c r="V39" s="730"/>
      <c r="W39" s="711"/>
      <c r="X39" s="102"/>
      <c r="Y39" s="102"/>
    </row>
    <row r="40" spans="1:27" ht="19.5" customHeight="1" x14ac:dyDescent="0.25">
      <c r="A40" s="133"/>
      <c r="B40" s="727"/>
      <c r="C40" s="728"/>
      <c r="D40" s="730"/>
      <c r="E40" s="730"/>
      <c r="F40" s="730"/>
      <c r="G40" s="730"/>
      <c r="H40" s="730"/>
      <c r="I40" s="732"/>
      <c r="J40" s="732"/>
      <c r="K40" s="732"/>
      <c r="L40" s="730"/>
      <c r="M40" s="730"/>
      <c r="N40" s="730"/>
      <c r="O40" s="730"/>
      <c r="P40" s="730"/>
      <c r="Q40" s="711"/>
      <c r="R40" s="730"/>
      <c r="S40" s="730"/>
      <c r="T40" s="730"/>
      <c r="U40" s="731"/>
      <c r="V40" s="730"/>
      <c r="W40" s="711"/>
      <c r="Z40" s="102"/>
    </row>
    <row r="41" spans="1:27" ht="19.5" customHeight="1" x14ac:dyDescent="0.25">
      <c r="A41" s="133"/>
      <c r="B41" s="727"/>
      <c r="C41" s="728"/>
      <c r="D41" s="730"/>
      <c r="E41" s="730"/>
      <c r="F41" s="730"/>
      <c r="G41" s="730"/>
      <c r="H41" s="730"/>
      <c r="I41" s="732"/>
      <c r="J41" s="732"/>
      <c r="K41" s="732"/>
      <c r="L41" s="730"/>
      <c r="M41" s="730"/>
      <c r="N41" s="730"/>
      <c r="O41" s="730"/>
      <c r="P41" s="730"/>
      <c r="Q41" s="711"/>
      <c r="R41" s="730"/>
      <c r="S41" s="730"/>
      <c r="T41" s="730"/>
      <c r="U41" s="731"/>
      <c r="V41" s="730"/>
      <c r="W41" s="711"/>
    </row>
    <row r="42" spans="1:27" ht="19.5" customHeight="1" x14ac:dyDescent="0.25">
      <c r="A42" s="133"/>
      <c r="B42" s="727"/>
      <c r="C42" s="728"/>
      <c r="D42" s="737"/>
      <c r="E42" s="730"/>
      <c r="F42" s="730"/>
      <c r="G42" s="730"/>
      <c r="H42" s="737"/>
      <c r="I42" s="732"/>
      <c r="J42" s="732"/>
      <c r="K42" s="732"/>
      <c r="L42" s="730"/>
      <c r="M42" s="730"/>
      <c r="N42" s="730"/>
      <c r="O42" s="730"/>
      <c r="P42" s="730"/>
      <c r="Q42" s="711"/>
      <c r="R42" s="730"/>
      <c r="S42" s="730"/>
      <c r="T42" s="730"/>
      <c r="U42" s="731"/>
      <c r="V42" s="730"/>
      <c r="W42" s="711"/>
      <c r="Y42" s="102"/>
      <c r="Z42" s="102"/>
      <c r="AA42" s="102"/>
    </row>
    <row r="43" spans="1:27" ht="19.5" customHeight="1" x14ac:dyDescent="0.25">
      <c r="A43" s="133"/>
      <c r="B43" s="727"/>
      <c r="C43" s="728"/>
      <c r="D43" s="738"/>
      <c r="E43" s="738"/>
      <c r="F43" s="738"/>
      <c r="G43" s="739"/>
      <c r="H43" s="739"/>
      <c r="I43" s="732"/>
      <c r="J43" s="732"/>
      <c r="K43" s="732"/>
      <c r="L43" s="739"/>
      <c r="M43" s="738"/>
      <c r="N43" s="739"/>
      <c r="O43" s="739"/>
      <c r="P43" s="739"/>
      <c r="Q43" s="732"/>
      <c r="R43" s="739"/>
      <c r="S43" s="738"/>
      <c r="T43" s="739"/>
      <c r="U43" s="739"/>
      <c r="V43" s="739"/>
      <c r="W43" s="732"/>
    </row>
    <row r="44" spans="1:27" ht="19.5" customHeight="1" x14ac:dyDescent="0.25">
      <c r="A44" s="133"/>
      <c r="B44" s="727"/>
      <c r="C44" s="728"/>
      <c r="D44" s="738"/>
      <c r="E44" s="738"/>
      <c r="F44" s="738"/>
      <c r="G44" s="738"/>
      <c r="H44" s="738"/>
      <c r="I44" s="732"/>
      <c r="J44" s="732"/>
      <c r="K44" s="732"/>
      <c r="L44" s="739"/>
      <c r="M44" s="739"/>
      <c r="N44" s="739"/>
      <c r="O44" s="739"/>
      <c r="P44" s="739"/>
      <c r="Q44" s="732"/>
      <c r="R44" s="739"/>
      <c r="S44" s="738"/>
      <c r="T44" s="739"/>
      <c r="U44" s="739"/>
      <c r="V44" s="739"/>
      <c r="W44" s="732"/>
    </row>
    <row r="45" spans="1:27" ht="19.5" customHeight="1" x14ac:dyDescent="0.25">
      <c r="A45" s="133"/>
      <c r="B45" s="727"/>
      <c r="C45" s="728"/>
      <c r="D45" s="740"/>
      <c r="E45" s="674"/>
      <c r="F45" s="740"/>
      <c r="G45" s="740"/>
      <c r="H45" s="740"/>
      <c r="I45" s="732"/>
      <c r="J45" s="732"/>
      <c r="K45" s="732"/>
      <c r="L45" s="739"/>
      <c r="M45" s="739"/>
      <c r="N45" s="739"/>
      <c r="O45" s="739"/>
      <c r="P45" s="739"/>
      <c r="Q45" s="732"/>
      <c r="R45" s="740"/>
      <c r="S45" s="674"/>
      <c r="T45" s="740"/>
      <c r="U45" s="740"/>
      <c r="V45" s="740"/>
      <c r="W45" s="732"/>
    </row>
    <row r="46" spans="1:27" ht="19.5" customHeight="1" x14ac:dyDescent="0.25">
      <c r="A46" s="133"/>
      <c r="B46" s="727"/>
      <c r="C46" s="728"/>
      <c r="D46" s="740"/>
      <c r="E46" s="674"/>
      <c r="F46" s="740"/>
      <c r="G46" s="740"/>
      <c r="H46" s="740"/>
      <c r="I46" s="732"/>
      <c r="J46" s="732"/>
      <c r="K46" s="732"/>
      <c r="L46" s="739"/>
      <c r="M46" s="739"/>
      <c r="N46" s="739"/>
      <c r="O46" s="739"/>
      <c r="P46" s="739"/>
      <c r="Q46" s="732"/>
      <c r="R46" s="740"/>
      <c r="S46" s="674"/>
      <c r="T46" s="740"/>
      <c r="U46" s="740"/>
      <c r="V46" s="740"/>
      <c r="W46" s="732"/>
    </row>
    <row r="47" spans="1:27" ht="19.5" customHeight="1" x14ac:dyDescent="0.25">
      <c r="A47" s="133"/>
      <c r="B47" s="727"/>
      <c r="C47" s="728"/>
      <c r="D47" s="740"/>
      <c r="E47" s="674"/>
      <c r="F47" s="740"/>
      <c r="G47" s="740"/>
      <c r="H47" s="740"/>
      <c r="I47" s="732"/>
      <c r="J47" s="732"/>
      <c r="K47" s="732"/>
      <c r="L47" s="739"/>
      <c r="M47" s="739"/>
      <c r="N47" s="739"/>
      <c r="O47" s="739"/>
      <c r="P47" s="739"/>
      <c r="Q47" s="732"/>
      <c r="R47" s="740"/>
      <c r="S47" s="674"/>
      <c r="T47" s="740"/>
      <c r="U47" s="740"/>
      <c r="V47" s="740"/>
      <c r="W47" s="732"/>
    </row>
    <row r="48" spans="1:27" ht="19.5" customHeight="1" x14ac:dyDescent="0.25">
      <c r="A48" s="133"/>
      <c r="B48" s="727"/>
      <c r="C48" s="728"/>
      <c r="D48" s="740"/>
      <c r="E48" s="674"/>
      <c r="F48" s="740"/>
      <c r="G48" s="740"/>
      <c r="H48" s="740"/>
      <c r="I48" s="732"/>
      <c r="J48" s="732"/>
      <c r="K48" s="732"/>
      <c r="L48" s="739"/>
      <c r="M48" s="739"/>
      <c r="N48" s="739"/>
      <c r="O48" s="739"/>
      <c r="P48" s="739"/>
      <c r="Q48" s="732"/>
      <c r="R48" s="740"/>
      <c r="S48" s="674"/>
      <c r="T48" s="740"/>
      <c r="U48" s="740"/>
      <c r="V48" s="740"/>
      <c r="W48" s="732"/>
    </row>
    <row r="49" spans="1:31" ht="19.5" customHeight="1" x14ac:dyDescent="0.25">
      <c r="A49" s="133"/>
      <c r="B49" s="727"/>
      <c r="C49" s="728"/>
      <c r="D49" s="740"/>
      <c r="E49" s="674"/>
      <c r="F49" s="740"/>
      <c r="G49" s="740"/>
      <c r="H49" s="740"/>
      <c r="I49" s="732"/>
      <c r="J49" s="732"/>
      <c r="K49" s="732"/>
      <c r="L49" s="739"/>
      <c r="M49" s="739"/>
      <c r="N49" s="739"/>
      <c r="O49" s="739"/>
      <c r="P49" s="739"/>
      <c r="Q49" s="732"/>
      <c r="R49" s="740"/>
      <c r="S49" s="674"/>
      <c r="T49" s="740"/>
      <c r="U49" s="740"/>
      <c r="V49" s="740"/>
      <c r="W49" s="732"/>
    </row>
    <row r="50" spans="1:31" ht="19.5" customHeight="1" x14ac:dyDescent="0.25">
      <c r="A50" s="133"/>
      <c r="B50" s="727"/>
      <c r="C50" s="729"/>
      <c r="D50" s="674"/>
      <c r="E50" s="674"/>
      <c r="F50" s="674"/>
      <c r="G50" s="674"/>
      <c r="H50" s="674"/>
      <c r="I50" s="674"/>
      <c r="J50" s="674"/>
      <c r="K50" s="674"/>
      <c r="L50" s="674"/>
      <c r="M50" s="674"/>
      <c r="N50" s="674"/>
      <c r="O50" s="674"/>
      <c r="P50" s="674"/>
      <c r="Q50" s="674"/>
      <c r="R50" s="674"/>
      <c r="S50" s="674"/>
      <c r="T50" s="674"/>
      <c r="U50" s="674"/>
      <c r="V50" s="674"/>
      <c r="W50" s="741"/>
      <c r="AD50" s="838"/>
      <c r="AE50" s="838"/>
    </row>
    <row r="51" spans="1:31" ht="19.5" customHeight="1" x14ac:dyDescent="0.25">
      <c r="A51" s="133"/>
      <c r="B51" s="727"/>
      <c r="C51" s="729"/>
      <c r="D51" s="740"/>
      <c r="E51" s="740"/>
      <c r="F51" s="740"/>
      <c r="G51" s="740"/>
      <c r="H51" s="740"/>
      <c r="I51" s="102"/>
      <c r="J51" s="102"/>
      <c r="K51" s="102"/>
      <c r="L51" s="740"/>
      <c r="M51" s="740"/>
      <c r="N51" s="740"/>
      <c r="O51" s="740"/>
      <c r="P51" s="740"/>
      <c r="Q51" s="740"/>
      <c r="R51" s="740"/>
      <c r="S51" s="740"/>
      <c r="T51" s="740"/>
      <c r="U51" s="740"/>
      <c r="V51" s="740"/>
      <c r="W51" s="740"/>
      <c r="AD51" s="838"/>
      <c r="AE51" s="838"/>
    </row>
    <row r="52" spans="1:31" ht="19.5" customHeight="1" x14ac:dyDescent="0.25">
      <c r="A52" s="133"/>
      <c r="B52" s="727"/>
      <c r="C52" s="742"/>
      <c r="D52" s="743"/>
      <c r="E52" s="743"/>
      <c r="F52" s="743"/>
      <c r="G52" s="743"/>
      <c r="H52" s="743"/>
      <c r="I52" s="743"/>
      <c r="J52" s="743"/>
      <c r="K52" s="743"/>
      <c r="L52" s="743"/>
      <c r="M52" s="743"/>
      <c r="N52" s="743"/>
      <c r="O52" s="743"/>
      <c r="P52" s="743"/>
      <c r="Q52" s="743"/>
      <c r="R52" s="743"/>
      <c r="S52" s="743"/>
      <c r="T52" s="743"/>
      <c r="U52" s="743"/>
      <c r="V52" s="743"/>
      <c r="W52" s="156"/>
    </row>
    <row r="53" spans="1:31" ht="19.5" customHeight="1" x14ac:dyDescent="0.25">
      <c r="A53" s="133"/>
      <c r="B53" s="727"/>
      <c r="C53" s="744"/>
      <c r="D53" s="673"/>
      <c r="E53" s="673"/>
      <c r="F53" s="673"/>
      <c r="G53" s="673"/>
      <c r="H53" s="673"/>
      <c r="I53" s="673"/>
      <c r="J53" s="673"/>
      <c r="K53" s="673"/>
      <c r="L53" s="673"/>
      <c r="M53" s="673"/>
      <c r="N53" s="673"/>
      <c r="O53" s="673"/>
      <c r="P53" s="673"/>
      <c r="Q53" s="673"/>
      <c r="R53" s="673"/>
      <c r="S53" s="673"/>
      <c r="T53" s="673"/>
      <c r="U53" s="673"/>
      <c r="V53" s="673"/>
      <c r="W53" s="156"/>
    </row>
    <row r="54" spans="1:31" ht="19.5" customHeight="1" x14ac:dyDescent="0.25">
      <c r="A54" s="133"/>
      <c r="B54" s="727"/>
      <c r="C54" s="744"/>
      <c r="D54" s="155"/>
      <c r="E54" s="164"/>
      <c r="F54" s="164"/>
      <c r="G54" s="164"/>
      <c r="H54" s="164"/>
      <c r="I54" s="164"/>
      <c r="J54" s="164"/>
      <c r="K54" s="164"/>
      <c r="L54" s="155"/>
      <c r="M54" s="164"/>
      <c r="N54" s="164"/>
      <c r="O54" s="164"/>
      <c r="P54" s="164"/>
      <c r="Q54" s="164"/>
      <c r="R54" s="155"/>
      <c r="S54" s="164"/>
      <c r="T54" s="164"/>
      <c r="U54" s="164"/>
      <c r="V54" s="164"/>
      <c r="W54" s="156"/>
    </row>
    <row r="55" spans="1:31" ht="19.5" customHeight="1" x14ac:dyDescent="0.25">
      <c r="A55" s="133"/>
      <c r="B55" s="727"/>
      <c r="C55" s="728"/>
      <c r="D55" s="164"/>
      <c r="E55" s="164"/>
      <c r="F55" s="164"/>
      <c r="G55" s="164"/>
      <c r="H55" s="164"/>
      <c r="I55" s="164"/>
      <c r="J55" s="164"/>
      <c r="K55" s="164"/>
      <c r="L55" s="164"/>
      <c r="M55" s="164"/>
      <c r="N55" s="164"/>
      <c r="O55" s="164"/>
      <c r="P55" s="164"/>
      <c r="Q55" s="164"/>
      <c r="R55" s="164"/>
      <c r="S55" s="164"/>
      <c r="T55" s="164"/>
      <c r="U55" s="164"/>
      <c r="V55" s="164"/>
      <c r="W55" s="156"/>
    </row>
    <row r="56" spans="1:31" ht="19.5" customHeight="1" x14ac:dyDescent="0.25">
      <c r="A56" s="133"/>
      <c r="B56" s="727"/>
      <c r="C56" s="728"/>
      <c r="D56" s="164"/>
      <c r="E56" s="164"/>
      <c r="F56" s="164"/>
      <c r="G56" s="164"/>
      <c r="H56" s="164"/>
      <c r="I56" s="164"/>
      <c r="J56" s="164"/>
      <c r="K56" s="164"/>
      <c r="L56" s="164"/>
      <c r="M56" s="164"/>
      <c r="N56" s="164"/>
      <c r="O56" s="164"/>
      <c r="P56" s="164"/>
      <c r="Q56" s="164"/>
      <c r="R56" s="164"/>
      <c r="S56" s="164"/>
      <c r="T56" s="164"/>
      <c r="U56" s="164"/>
      <c r="V56" s="164"/>
      <c r="W56" s="156"/>
    </row>
    <row r="57" spans="1:31" ht="19.5" customHeight="1" x14ac:dyDescent="0.25">
      <c r="A57" s="133"/>
      <c r="B57" s="727"/>
      <c r="C57" s="728"/>
      <c r="D57" s="102"/>
      <c r="E57" s="102"/>
      <c r="F57" s="102"/>
      <c r="G57" s="102"/>
      <c r="H57" s="102"/>
      <c r="I57" s="102"/>
      <c r="J57" s="102"/>
      <c r="K57" s="102"/>
      <c r="L57" s="102"/>
      <c r="M57" s="102"/>
      <c r="N57" s="102"/>
      <c r="O57" s="102"/>
      <c r="P57" s="102"/>
      <c r="Q57" s="102"/>
      <c r="R57" s="102"/>
      <c r="S57" s="102"/>
      <c r="T57" s="102"/>
      <c r="U57" s="102"/>
      <c r="V57" s="102"/>
    </row>
    <row r="58" spans="1:31" ht="19.5" customHeight="1" x14ac:dyDescent="0.25">
      <c r="A58" s="133"/>
      <c r="B58" s="727"/>
      <c r="C58" s="728"/>
      <c r="D58" s="102"/>
      <c r="E58" s="102"/>
      <c r="F58" s="102"/>
      <c r="G58" s="102"/>
      <c r="H58" s="102"/>
      <c r="I58" s="102"/>
      <c r="J58" s="102"/>
      <c r="K58" s="102"/>
      <c r="L58" s="102"/>
      <c r="M58" s="102"/>
      <c r="N58" s="102"/>
      <c r="O58" s="102"/>
      <c r="P58" s="102"/>
      <c r="Q58" s="102"/>
      <c r="R58" s="102"/>
      <c r="S58" s="102"/>
      <c r="T58" s="102"/>
      <c r="U58" s="102"/>
      <c r="V58" s="102"/>
    </row>
    <row r="59" spans="1:31" ht="19.5" customHeight="1" x14ac:dyDescent="0.25">
      <c r="A59" s="133"/>
      <c r="B59" s="727"/>
      <c r="C59" s="728"/>
      <c r="D59" s="102"/>
      <c r="E59" s="102"/>
      <c r="F59" s="102"/>
      <c r="G59" s="102"/>
      <c r="H59" s="102"/>
      <c r="I59" s="102"/>
      <c r="J59" s="102"/>
      <c r="K59" s="102"/>
      <c r="L59" s="102"/>
      <c r="M59" s="102"/>
      <c r="N59" s="102"/>
      <c r="O59" s="102"/>
      <c r="P59" s="102"/>
      <c r="Q59" s="102"/>
      <c r="R59" s="102"/>
      <c r="S59" s="102"/>
      <c r="T59" s="102"/>
      <c r="U59" s="102"/>
      <c r="V59" s="102"/>
    </row>
    <row r="60" spans="1:31" ht="19.5" customHeight="1" x14ac:dyDescent="0.25">
      <c r="A60" s="133"/>
      <c r="B60" s="727"/>
      <c r="C60" s="728"/>
      <c r="D60" s="102"/>
      <c r="E60" s="102"/>
      <c r="F60" s="102"/>
      <c r="G60" s="102"/>
      <c r="H60" s="102"/>
      <c r="I60" s="102"/>
      <c r="J60" s="102"/>
      <c r="K60" s="102"/>
      <c r="L60" s="102"/>
      <c r="M60" s="102"/>
      <c r="N60" s="102"/>
      <c r="O60" s="102"/>
      <c r="P60" s="102"/>
      <c r="Q60" s="102"/>
      <c r="R60" s="102"/>
      <c r="S60" s="102"/>
      <c r="T60" s="102"/>
      <c r="U60" s="102"/>
      <c r="V60" s="102"/>
    </row>
    <row r="61" spans="1:31" ht="19.5" customHeight="1" x14ac:dyDescent="0.25">
      <c r="A61" s="133"/>
      <c r="B61" s="727"/>
      <c r="C61" s="728"/>
      <c r="D61" s="102"/>
      <c r="E61" s="102"/>
      <c r="F61" s="102"/>
      <c r="G61" s="102"/>
      <c r="H61" s="102"/>
      <c r="I61" s="102"/>
      <c r="J61" s="102"/>
      <c r="K61" s="102"/>
      <c r="L61" s="102"/>
      <c r="M61" s="102"/>
      <c r="N61" s="102"/>
      <c r="O61" s="102"/>
      <c r="P61" s="102"/>
      <c r="Q61" s="102"/>
      <c r="R61" s="102"/>
      <c r="S61" s="102"/>
      <c r="T61" s="102"/>
      <c r="U61" s="102"/>
      <c r="V61" s="102"/>
    </row>
    <row r="62" spans="1:31" ht="19.5" customHeight="1" x14ac:dyDescent="0.25"/>
  </sheetData>
  <sheetProtection sheet="1" objects="1" scenarios="1"/>
  <sortState xmlns:xlrd2="http://schemas.microsoft.com/office/spreadsheetml/2017/richdata2" ref="P14:T46">
    <sortCondition descending="1" ref="P14"/>
  </sortState>
  <mergeCells count="14">
    <mergeCell ref="AD51:AE51"/>
    <mergeCell ref="Y6:AA6"/>
    <mergeCell ref="AB6:AD6"/>
    <mergeCell ref="D4:H4"/>
    <mergeCell ref="L4:P4"/>
    <mergeCell ref="R4:V4"/>
    <mergeCell ref="AE6:AG6"/>
    <mergeCell ref="AH6:AJ6"/>
    <mergeCell ref="AK6:AM6"/>
    <mergeCell ref="B2:C2"/>
    <mergeCell ref="B6:C6"/>
    <mergeCell ref="AD50:AE50"/>
    <mergeCell ref="B8:C8"/>
    <mergeCell ref="B9:C9"/>
  </mergeCells>
  <conditionalFormatting sqref="W14:W40">
    <cfRule type="cellIs" dxfId="797" priority="7835" stopIfTrue="1" operator="between">
      <formula>0.1</formula>
      <formula>1.9</formula>
    </cfRule>
    <cfRule type="cellIs" dxfId="796" priority="7836" stopIfTrue="1" operator="between">
      <formula>3</formula>
      <formula>3.9</formula>
    </cfRule>
    <cfRule type="cellIs" dxfId="795" priority="7837" stopIfTrue="1" operator="between">
      <formula>4</formula>
      <formula>5</formula>
    </cfRule>
  </conditionalFormatting>
  <conditionalFormatting sqref="W14:W40">
    <cfRule type="cellIs" dxfId="794" priority="7834" operator="between">
      <formula>2</formula>
      <formula>2.9</formula>
    </cfRule>
  </conditionalFormatting>
  <conditionalFormatting sqref="W9">
    <cfRule type="cellIs" dxfId="793" priority="7831" stopIfTrue="1" operator="between">
      <formula>0.1</formula>
      <formula>1.9</formula>
    </cfRule>
    <cfRule type="cellIs" dxfId="792" priority="7832" stopIfTrue="1" operator="between">
      <formula>3</formula>
      <formula>3.9</formula>
    </cfRule>
    <cfRule type="cellIs" dxfId="791" priority="7833" stopIfTrue="1" operator="between">
      <formula>4</formula>
      <formula>5</formula>
    </cfRule>
  </conditionalFormatting>
  <conditionalFormatting sqref="W9">
    <cfRule type="cellIs" dxfId="790" priority="7830" operator="between">
      <formula>2</formula>
      <formula>2.9</formula>
    </cfRule>
  </conditionalFormatting>
  <conditionalFormatting sqref="W8">
    <cfRule type="cellIs" dxfId="789" priority="7827" stopIfTrue="1" operator="between">
      <formula>0.1</formula>
      <formula>1.9</formula>
    </cfRule>
    <cfRule type="cellIs" dxfId="788" priority="7828" stopIfTrue="1" operator="between">
      <formula>3</formula>
      <formula>3.9</formula>
    </cfRule>
    <cfRule type="cellIs" dxfId="787" priority="7829" stopIfTrue="1" operator="between">
      <formula>4</formula>
      <formula>5</formula>
    </cfRule>
  </conditionalFormatting>
  <conditionalFormatting sqref="W8">
    <cfRule type="cellIs" dxfId="786" priority="7826" operator="between">
      <formula>2</formula>
      <formula>2.9</formula>
    </cfRule>
  </conditionalFormatting>
  <conditionalFormatting sqref="D8:H9">
    <cfRule type="cellIs" dxfId="785" priority="37" operator="equal">
      <formula>""</formula>
    </cfRule>
    <cfRule type="cellIs" dxfId="784" priority="38" operator="between">
      <formula>4</formula>
      <formula>5</formula>
    </cfRule>
    <cfRule type="cellIs" dxfId="783" priority="39" operator="between">
      <formula>3</formula>
      <formula>4</formula>
    </cfRule>
    <cfRule type="cellIs" dxfId="782" priority="40" operator="between">
      <formula>2</formula>
      <formula>3</formula>
    </cfRule>
    <cfRule type="cellIs" dxfId="781" priority="41" operator="between">
      <formula>1</formula>
      <formula>2</formula>
    </cfRule>
    <cfRule type="cellIs" dxfId="780" priority="42" operator="between">
      <formula>0</formula>
      <formula>1</formula>
    </cfRule>
  </conditionalFormatting>
  <conditionalFormatting sqref="L8:P9">
    <cfRule type="cellIs" dxfId="779" priority="7" operator="equal">
      <formula>""</formula>
    </cfRule>
    <cfRule type="cellIs" dxfId="778" priority="8" operator="between">
      <formula>4</formula>
      <formula>5</formula>
    </cfRule>
    <cfRule type="cellIs" dxfId="777" priority="9" operator="between">
      <formula>3</formula>
      <formula>4</formula>
    </cfRule>
    <cfRule type="cellIs" dxfId="776" priority="10" operator="between">
      <formula>2</formula>
      <formula>3</formula>
    </cfRule>
    <cfRule type="cellIs" dxfId="775" priority="11" operator="between">
      <formula>1</formula>
      <formula>2</formula>
    </cfRule>
    <cfRule type="cellIs" dxfId="774" priority="12" operator="between">
      <formula>0</formula>
      <formula>1</formula>
    </cfRule>
  </conditionalFormatting>
  <conditionalFormatting sqref="R8:V9">
    <cfRule type="cellIs" dxfId="773" priority="1" operator="equal">
      <formula>""</formula>
    </cfRule>
    <cfRule type="cellIs" dxfId="772" priority="2" operator="between">
      <formula>4</formula>
      <formula>5</formula>
    </cfRule>
    <cfRule type="cellIs" dxfId="771" priority="3" operator="between">
      <formula>3</formula>
      <formula>4</formula>
    </cfRule>
    <cfRule type="cellIs" dxfId="770" priority="4" operator="between">
      <formula>2</formula>
      <formula>3</formula>
    </cfRule>
    <cfRule type="cellIs" dxfId="769" priority="5" operator="between">
      <formula>1</formula>
      <formula>2</formula>
    </cfRule>
    <cfRule type="cellIs" dxfId="768" priority="6" operator="between">
      <formula>0</formula>
      <formula>1</formula>
    </cfRule>
  </conditionalFormatting>
  <pageMargins left="0.55118110236220474" right="0.27559055118110237" top="0.47244094488188981" bottom="0.43307086614173229" header="0.23622047244094491" footer="0.23622047244094491"/>
  <pageSetup paperSize="9" scale="73" orientation="portrait" horizontalDpi="4294967293" r:id="rId1"/>
  <headerFooter alignWithMargins="0">
    <oddHeader>&amp;C&amp;"Comic Sans MS,Standaard"&amp;16Opbrengstgericht Passend Onderwijs = OPO</oddHeader>
    <oddFooter>&amp;R© www.meesterharrie.nl</oddFooter>
  </headerFooter>
  <colBreaks count="1" manualBreakCount="1">
    <brk id="32"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2FF2-A387-4BB8-ACDA-B6FA472585FA}">
  <sheetPr>
    <pageSetUpPr fitToPage="1"/>
  </sheetPr>
  <dimension ref="B1:L51"/>
  <sheetViews>
    <sheetView showGridLines="0" showRowColHeaders="0" topLeftCell="D1" zoomScaleNormal="100" workbookViewId="0"/>
  </sheetViews>
  <sheetFormatPr defaultColWidth="8.7265625" defaultRowHeight="12.5" x14ac:dyDescent="0.25"/>
  <cols>
    <col min="1" max="1" width="3.1796875" style="190" customWidth="1"/>
    <col min="2" max="2" width="4" style="561" bestFit="1" customWidth="1"/>
    <col min="3" max="3" width="25.7265625" style="455" customWidth="1"/>
    <col min="4" max="7" width="5.54296875" style="190" customWidth="1"/>
    <col min="8" max="8" width="8.7265625" style="190" customWidth="1"/>
    <col min="9" max="11" width="8.7265625" style="190"/>
    <col min="12" max="12" width="4.1796875" style="190" customWidth="1"/>
    <col min="13" max="16384" width="8.7265625" style="190"/>
  </cols>
  <sheetData>
    <row r="1" spans="2:12" ht="13" thickBot="1" x14ac:dyDescent="0.3"/>
    <row r="2" spans="2:12" ht="15" customHeight="1" thickTop="1" x14ac:dyDescent="0.25">
      <c r="B2" s="856"/>
      <c r="C2" s="857"/>
      <c r="D2" s="858" t="s">
        <v>391</v>
      </c>
      <c r="E2" s="858"/>
      <c r="F2" s="858"/>
      <c r="G2" s="859"/>
      <c r="H2" s="855" t="str">
        <f>$D$3</f>
        <v>technisch lezen</v>
      </c>
      <c r="I2" s="855"/>
      <c r="J2" s="855"/>
      <c r="K2" s="855"/>
      <c r="L2" s="855"/>
    </row>
    <row r="3" spans="2:12" ht="15" customHeight="1" x14ac:dyDescent="0.25">
      <c r="B3" s="593"/>
      <c r="C3" s="592"/>
      <c r="D3" s="860" t="s">
        <v>91</v>
      </c>
      <c r="E3" s="860" t="s">
        <v>3</v>
      </c>
      <c r="F3" s="860" t="s">
        <v>229</v>
      </c>
      <c r="G3" s="863" t="s">
        <v>230</v>
      </c>
    </row>
    <row r="4" spans="2:12" ht="15" customHeight="1" x14ac:dyDescent="0.25">
      <c r="B4" s="593" t="s">
        <v>387</v>
      </c>
      <c r="C4" s="597" t="s">
        <v>386</v>
      </c>
      <c r="D4" s="861"/>
      <c r="E4" s="861"/>
      <c r="F4" s="861"/>
      <c r="G4" s="864"/>
    </row>
    <row r="5" spans="2:12" ht="15" customHeight="1" x14ac:dyDescent="0.25">
      <c r="B5" s="593" t="s">
        <v>383</v>
      </c>
      <c r="C5" s="596" t="s">
        <v>382</v>
      </c>
      <c r="D5" s="861"/>
      <c r="E5" s="861"/>
      <c r="F5" s="861"/>
      <c r="G5" s="864"/>
    </row>
    <row r="6" spans="2:12" ht="15" customHeight="1" x14ac:dyDescent="0.25">
      <c r="B6" s="593" t="s">
        <v>380</v>
      </c>
      <c r="C6" s="595" t="s">
        <v>379</v>
      </c>
      <c r="D6" s="861"/>
      <c r="E6" s="861"/>
      <c r="F6" s="861"/>
      <c r="G6" s="864"/>
    </row>
    <row r="7" spans="2:12" ht="15" customHeight="1" x14ac:dyDescent="0.25">
      <c r="B7" s="593" t="s">
        <v>377</v>
      </c>
      <c r="C7" s="594" t="s">
        <v>376</v>
      </c>
      <c r="D7" s="861"/>
      <c r="E7" s="861"/>
      <c r="F7" s="861"/>
      <c r="G7" s="864"/>
    </row>
    <row r="8" spans="2:12" ht="15" customHeight="1" x14ac:dyDescent="0.25">
      <c r="B8" s="593"/>
      <c r="C8" s="592"/>
      <c r="D8" s="862"/>
      <c r="E8" s="862"/>
      <c r="F8" s="862"/>
      <c r="G8" s="865"/>
    </row>
    <row r="9" spans="2:12" ht="15" customHeight="1" x14ac:dyDescent="0.25">
      <c r="B9" s="866" t="s">
        <v>5</v>
      </c>
      <c r="C9" s="867"/>
      <c r="D9" s="868"/>
      <c r="E9" s="868"/>
      <c r="F9" s="868"/>
      <c r="G9" s="869"/>
    </row>
    <row r="10" spans="2:12" ht="15" customHeight="1" x14ac:dyDescent="0.25">
      <c r="B10" s="591"/>
      <c r="C10" s="590"/>
      <c r="D10" s="589"/>
      <c r="E10" s="589"/>
      <c r="F10" s="589"/>
      <c r="G10" s="588"/>
    </row>
    <row r="11" spans="2:12" ht="15" customHeight="1" x14ac:dyDescent="0.25">
      <c r="B11" s="587">
        <v>1</v>
      </c>
      <c r="C11" s="586" t="str">
        <f>BEGINBLAD!C5</f>
        <v>leerling 1</v>
      </c>
      <c r="D11" s="585"/>
      <c r="E11" s="585"/>
      <c r="F11" s="585"/>
      <c r="G11" s="584"/>
    </row>
    <row r="12" spans="2:12" ht="15" customHeight="1" x14ac:dyDescent="0.25">
      <c r="B12" s="587">
        <v>2</v>
      </c>
      <c r="C12" s="586" t="str">
        <f>BEGINBLAD!C6</f>
        <v>leerling 2</v>
      </c>
      <c r="D12" s="585"/>
      <c r="E12" s="585"/>
      <c r="F12" s="585"/>
      <c r="G12" s="584"/>
    </row>
    <row r="13" spans="2:12" ht="15" customHeight="1" x14ac:dyDescent="0.25">
      <c r="B13" s="587">
        <v>3</v>
      </c>
      <c r="C13" s="586" t="str">
        <f>BEGINBLAD!C7</f>
        <v>leerling 3</v>
      </c>
      <c r="D13" s="585"/>
      <c r="E13" s="585"/>
      <c r="F13" s="585"/>
      <c r="G13" s="584"/>
      <c r="H13" s="855" t="str">
        <f>$E$3</f>
        <v>begrijpend lezen</v>
      </c>
      <c r="I13" s="855"/>
      <c r="J13" s="855"/>
      <c r="K13" s="855"/>
      <c r="L13" s="855"/>
    </row>
    <row r="14" spans="2:12" ht="15" customHeight="1" x14ac:dyDescent="0.25">
      <c r="B14" s="587">
        <v>4</v>
      </c>
      <c r="C14" s="586" t="str">
        <f>BEGINBLAD!C8</f>
        <v>leerling 4</v>
      </c>
      <c r="D14" s="585"/>
      <c r="E14" s="585"/>
      <c r="F14" s="585"/>
      <c r="G14" s="584"/>
    </row>
    <row r="15" spans="2:12" ht="15" customHeight="1" x14ac:dyDescent="0.25">
      <c r="B15" s="587">
        <v>5</v>
      </c>
      <c r="C15" s="586" t="str">
        <f>BEGINBLAD!C9</f>
        <v>leerling 5</v>
      </c>
      <c r="D15" s="585"/>
      <c r="E15" s="585"/>
      <c r="F15" s="585"/>
      <c r="G15" s="584"/>
    </row>
    <row r="16" spans="2:12" ht="15" customHeight="1" x14ac:dyDescent="0.25">
      <c r="B16" s="587">
        <v>6</v>
      </c>
      <c r="C16" s="586" t="str">
        <f>BEGINBLAD!C10</f>
        <v>leerling 6</v>
      </c>
      <c r="D16" s="585"/>
      <c r="E16" s="585"/>
      <c r="F16" s="585"/>
      <c r="G16" s="584"/>
    </row>
    <row r="17" spans="2:12" ht="15" customHeight="1" x14ac:dyDescent="0.25">
      <c r="B17" s="587">
        <v>7</v>
      </c>
      <c r="C17" s="586" t="str">
        <f>BEGINBLAD!C11</f>
        <v>leerling 7</v>
      </c>
      <c r="D17" s="585"/>
      <c r="E17" s="585"/>
      <c r="F17" s="585"/>
      <c r="G17" s="584"/>
    </row>
    <row r="18" spans="2:12" ht="15" customHeight="1" x14ac:dyDescent="0.25">
      <c r="B18" s="587">
        <v>8</v>
      </c>
      <c r="C18" s="586" t="str">
        <f>BEGINBLAD!C12</f>
        <v>leerling 8</v>
      </c>
      <c r="D18" s="585"/>
      <c r="E18" s="585"/>
      <c r="F18" s="585"/>
      <c r="G18" s="584"/>
    </row>
    <row r="19" spans="2:12" ht="15" customHeight="1" x14ac:dyDescent="0.25">
      <c r="B19" s="587">
        <v>9</v>
      </c>
      <c r="C19" s="586" t="str">
        <f>BEGINBLAD!C13</f>
        <v>leerling 9</v>
      </c>
      <c r="D19" s="585"/>
      <c r="E19" s="585"/>
      <c r="F19" s="585"/>
      <c r="G19" s="584"/>
    </row>
    <row r="20" spans="2:12" ht="15" customHeight="1" x14ac:dyDescent="0.25">
      <c r="B20" s="587">
        <v>10</v>
      </c>
      <c r="C20" s="586" t="str">
        <f>BEGINBLAD!C14</f>
        <v>leerling 10</v>
      </c>
      <c r="D20" s="585"/>
      <c r="E20" s="585"/>
      <c r="F20" s="585"/>
      <c r="G20" s="584"/>
    </row>
    <row r="21" spans="2:12" ht="15" customHeight="1" x14ac:dyDescent="0.25">
      <c r="B21" s="587">
        <v>11</v>
      </c>
      <c r="C21" s="586" t="str">
        <f>BEGINBLAD!C15</f>
        <v>leerling 11</v>
      </c>
      <c r="D21" s="585"/>
      <c r="E21" s="585"/>
      <c r="F21" s="585"/>
      <c r="G21" s="584"/>
    </row>
    <row r="22" spans="2:12" ht="15" customHeight="1" x14ac:dyDescent="0.25">
      <c r="B22" s="587">
        <v>12</v>
      </c>
      <c r="C22" s="586" t="str">
        <f>BEGINBLAD!C16</f>
        <v>leerling 12</v>
      </c>
      <c r="D22" s="585"/>
      <c r="E22" s="585"/>
      <c r="F22" s="585"/>
      <c r="G22" s="584"/>
    </row>
    <row r="23" spans="2:12" ht="15" customHeight="1" x14ac:dyDescent="0.25">
      <c r="B23" s="587">
        <v>13</v>
      </c>
      <c r="C23" s="586" t="str">
        <f>BEGINBLAD!C17</f>
        <v>leerling 13</v>
      </c>
      <c r="D23" s="585"/>
      <c r="E23" s="585"/>
      <c r="F23" s="585"/>
      <c r="G23" s="584"/>
    </row>
    <row r="24" spans="2:12" ht="15" customHeight="1" x14ac:dyDescent="0.25">
      <c r="B24" s="587">
        <v>14</v>
      </c>
      <c r="C24" s="586" t="str">
        <f>BEGINBLAD!C18</f>
        <v>leerling 14</v>
      </c>
      <c r="D24" s="585"/>
      <c r="E24" s="585"/>
      <c r="F24" s="585"/>
      <c r="G24" s="584"/>
      <c r="H24" s="855" t="str">
        <f>$F$3</f>
        <v>spellen</v>
      </c>
      <c r="I24" s="855"/>
      <c r="J24" s="855"/>
      <c r="K24" s="855"/>
      <c r="L24" s="855"/>
    </row>
    <row r="25" spans="2:12" ht="15" customHeight="1" x14ac:dyDescent="0.25">
      <c r="B25" s="587">
        <v>15</v>
      </c>
      <c r="C25" s="586" t="str">
        <f>BEGINBLAD!C19</f>
        <v>leerling 15</v>
      </c>
      <c r="D25" s="585"/>
      <c r="E25" s="585"/>
      <c r="F25" s="585"/>
      <c r="G25" s="584"/>
    </row>
    <row r="26" spans="2:12" ht="15" customHeight="1" x14ac:dyDescent="0.25">
      <c r="B26" s="587">
        <v>16</v>
      </c>
      <c r="C26" s="586" t="str">
        <f>BEGINBLAD!C20</f>
        <v>leerling 16</v>
      </c>
      <c r="D26" s="585"/>
      <c r="E26" s="585"/>
      <c r="F26" s="585"/>
      <c r="G26" s="584"/>
    </row>
    <row r="27" spans="2:12" ht="15" customHeight="1" x14ac:dyDescent="0.25">
      <c r="B27" s="587">
        <v>17</v>
      </c>
      <c r="C27" s="586" t="str">
        <f>BEGINBLAD!C21</f>
        <v>leerling 17</v>
      </c>
      <c r="D27" s="585"/>
      <c r="E27" s="585"/>
      <c r="F27" s="585"/>
      <c r="G27" s="584"/>
    </row>
    <row r="28" spans="2:12" ht="15" customHeight="1" x14ac:dyDescent="0.25">
      <c r="B28" s="587">
        <v>18</v>
      </c>
      <c r="C28" s="586" t="str">
        <f>BEGINBLAD!C22</f>
        <v>leerling 18</v>
      </c>
      <c r="D28" s="585"/>
      <c r="E28" s="585"/>
      <c r="F28" s="585"/>
      <c r="G28" s="584"/>
    </row>
    <row r="29" spans="2:12" ht="15" customHeight="1" x14ac:dyDescent="0.25">
      <c r="B29" s="587">
        <v>19</v>
      </c>
      <c r="C29" s="586" t="str">
        <f>BEGINBLAD!C23</f>
        <v>leerling 19</v>
      </c>
      <c r="D29" s="585"/>
      <c r="E29" s="585"/>
      <c r="F29" s="585"/>
      <c r="G29" s="584"/>
    </row>
    <row r="30" spans="2:12" ht="15" customHeight="1" x14ac:dyDescent="0.25">
      <c r="B30" s="587">
        <v>20</v>
      </c>
      <c r="C30" s="586" t="str">
        <f>BEGINBLAD!C24</f>
        <v>leerling 20</v>
      </c>
      <c r="D30" s="585"/>
      <c r="E30" s="585"/>
      <c r="F30" s="585"/>
      <c r="G30" s="584"/>
    </row>
    <row r="31" spans="2:12" ht="15" customHeight="1" x14ac:dyDescent="0.25">
      <c r="B31" s="587">
        <v>21</v>
      </c>
      <c r="C31" s="586" t="str">
        <f>BEGINBLAD!C25</f>
        <v>leerling 21</v>
      </c>
      <c r="D31" s="585"/>
      <c r="E31" s="585"/>
      <c r="F31" s="585"/>
      <c r="G31" s="584"/>
    </row>
    <row r="32" spans="2:12" ht="15" customHeight="1" x14ac:dyDescent="0.25">
      <c r="B32" s="587">
        <v>22</v>
      </c>
      <c r="C32" s="586" t="str">
        <f>BEGINBLAD!C26</f>
        <v>leerling 22</v>
      </c>
      <c r="D32" s="585"/>
      <c r="E32" s="585"/>
      <c r="F32" s="585"/>
      <c r="G32" s="584"/>
    </row>
    <row r="33" spans="2:12" ht="15" customHeight="1" x14ac:dyDescent="0.25">
      <c r="B33" s="587">
        <v>23</v>
      </c>
      <c r="C33" s="586" t="str">
        <f>BEGINBLAD!C27</f>
        <v>leerling 23</v>
      </c>
      <c r="D33" s="585"/>
      <c r="E33" s="585"/>
      <c r="F33" s="585"/>
      <c r="G33" s="584"/>
    </row>
    <row r="34" spans="2:12" ht="15" customHeight="1" x14ac:dyDescent="0.25">
      <c r="B34" s="587">
        <v>24</v>
      </c>
      <c r="C34" s="586" t="str">
        <f>BEGINBLAD!C28</f>
        <v>leerling 24</v>
      </c>
      <c r="D34" s="585"/>
      <c r="E34" s="585"/>
      <c r="F34" s="585"/>
      <c r="G34" s="584"/>
    </row>
    <row r="35" spans="2:12" ht="15" customHeight="1" x14ac:dyDescent="0.25">
      <c r="B35" s="587">
        <v>25</v>
      </c>
      <c r="C35" s="586" t="str">
        <f>BEGINBLAD!C29</f>
        <v>leerling 25</v>
      </c>
      <c r="D35" s="585"/>
      <c r="E35" s="585"/>
      <c r="F35" s="585"/>
      <c r="G35" s="584"/>
      <c r="H35" s="855" t="str">
        <f>$G$3</f>
        <v>rekenen</v>
      </c>
      <c r="I35" s="855"/>
      <c r="J35" s="855"/>
      <c r="K35" s="855"/>
      <c r="L35" s="855"/>
    </row>
    <row r="36" spans="2:12" ht="15" customHeight="1" x14ac:dyDescent="0.25">
      <c r="B36" s="587">
        <v>26</v>
      </c>
      <c r="C36" s="586" t="str">
        <f>BEGINBLAD!C30</f>
        <v>leerling 26</v>
      </c>
      <c r="D36" s="585"/>
      <c r="E36" s="585"/>
      <c r="F36" s="585"/>
      <c r="G36" s="584"/>
    </row>
    <row r="37" spans="2:12" ht="15" customHeight="1" x14ac:dyDescent="0.25">
      <c r="B37" s="587">
        <v>27</v>
      </c>
      <c r="C37" s="586">
        <f>BEGINBLAD!C31</f>
        <v>0</v>
      </c>
      <c r="D37" s="585"/>
      <c r="E37" s="585"/>
      <c r="F37" s="585"/>
      <c r="G37" s="584"/>
    </row>
    <row r="38" spans="2:12" ht="15" customHeight="1" x14ac:dyDescent="0.25">
      <c r="B38" s="587">
        <v>28</v>
      </c>
      <c r="C38" s="586">
        <f>BEGINBLAD!C32</f>
        <v>0</v>
      </c>
      <c r="D38" s="585"/>
      <c r="E38" s="585"/>
      <c r="F38" s="585"/>
      <c r="G38" s="584"/>
    </row>
    <row r="39" spans="2:12" ht="15" customHeight="1" x14ac:dyDescent="0.25">
      <c r="B39" s="587">
        <v>29</v>
      </c>
      <c r="C39" s="586">
        <f>BEGINBLAD!C33</f>
        <v>0</v>
      </c>
      <c r="D39" s="585"/>
      <c r="E39" s="585"/>
      <c r="F39" s="585"/>
      <c r="G39" s="584"/>
    </row>
    <row r="40" spans="2:12" ht="15" customHeight="1" x14ac:dyDescent="0.25">
      <c r="B40" s="587">
        <v>30</v>
      </c>
      <c r="C40" s="586">
        <f>BEGINBLAD!C34</f>
        <v>0</v>
      </c>
      <c r="D40" s="585"/>
      <c r="E40" s="585"/>
      <c r="F40" s="585"/>
      <c r="G40" s="584"/>
    </row>
    <row r="41" spans="2:12" ht="15" customHeight="1" x14ac:dyDescent="0.25">
      <c r="B41" s="587">
        <v>31</v>
      </c>
      <c r="C41" s="586">
        <f>BEGINBLAD!C35</f>
        <v>0</v>
      </c>
      <c r="D41" s="585"/>
      <c r="E41" s="585"/>
      <c r="F41" s="585"/>
      <c r="G41" s="584"/>
    </row>
    <row r="42" spans="2:12" ht="15" customHeight="1" x14ac:dyDescent="0.25">
      <c r="B42" s="587">
        <v>32</v>
      </c>
      <c r="C42" s="586">
        <f>BEGINBLAD!C36</f>
        <v>0</v>
      </c>
      <c r="D42" s="585"/>
      <c r="E42" s="585"/>
      <c r="F42" s="585"/>
      <c r="G42" s="584"/>
    </row>
    <row r="43" spans="2:12" ht="15" customHeight="1" x14ac:dyDescent="0.25">
      <c r="B43" s="587">
        <v>33</v>
      </c>
      <c r="C43" s="586">
        <f>BEGINBLAD!C37</f>
        <v>0</v>
      </c>
      <c r="D43" s="585"/>
      <c r="E43" s="585"/>
      <c r="F43" s="585"/>
      <c r="G43" s="584"/>
    </row>
    <row r="44" spans="2:12" ht="15" customHeight="1" x14ac:dyDescent="0.25">
      <c r="B44" s="587">
        <v>34</v>
      </c>
      <c r="C44" s="586">
        <f>BEGINBLAD!C38</f>
        <v>0</v>
      </c>
      <c r="D44" s="585"/>
      <c r="E44" s="585"/>
      <c r="F44" s="585"/>
      <c r="G44" s="584"/>
    </row>
    <row r="45" spans="2:12" ht="15" customHeight="1" x14ac:dyDescent="0.25">
      <c r="B45" s="587">
        <v>35</v>
      </c>
      <c r="C45" s="586">
        <f>BEGINBLAD!C39</f>
        <v>0</v>
      </c>
      <c r="D45" s="585"/>
      <c r="E45" s="585"/>
      <c r="F45" s="585"/>
      <c r="G45" s="584"/>
    </row>
    <row r="46" spans="2:12" ht="15" customHeight="1" thickBot="1" x14ac:dyDescent="0.3">
      <c r="B46" s="583">
        <v>36</v>
      </c>
      <c r="C46" s="582">
        <f>BEGINBLAD!C40</f>
        <v>0</v>
      </c>
      <c r="D46" s="581"/>
      <c r="E46" s="581"/>
      <c r="F46" s="581"/>
      <c r="G46" s="580"/>
    </row>
    <row r="47" spans="2:12" ht="15" customHeight="1" thickTop="1" thickBot="1" x14ac:dyDescent="0.3">
      <c r="C47" s="456">
        <f>SUM(D47:G47)</f>
        <v>0</v>
      </c>
      <c r="D47" s="240">
        <f>COUNTA(D11:D46)</f>
        <v>0</v>
      </c>
      <c r="E47" s="240">
        <f>COUNTA(E11:E46)</f>
        <v>0</v>
      </c>
      <c r="F47" s="240">
        <f>COUNTA(F11:F46)</f>
        <v>0</v>
      </c>
      <c r="G47" s="240">
        <f>COUNTA(G11:G46)</f>
        <v>0</v>
      </c>
      <c r="H47" s="413" t="s">
        <v>390</v>
      </c>
      <c r="I47" s="855" t="s">
        <v>389</v>
      </c>
      <c r="J47" s="855"/>
      <c r="K47" s="413" t="s">
        <v>388</v>
      </c>
    </row>
    <row r="48" spans="2:12" ht="15" customHeight="1" thickTop="1" x14ac:dyDescent="0.25">
      <c r="B48" s="579" t="s">
        <v>387</v>
      </c>
      <c r="C48" s="578" t="s">
        <v>386</v>
      </c>
      <c r="D48" s="577">
        <f>COUNTIF($D$11:$D$46,1)</f>
        <v>0</v>
      </c>
      <c r="E48" s="576">
        <f>COUNTIF($E$11:$E$46,1)</f>
        <v>0</v>
      </c>
      <c r="F48" s="576">
        <f>COUNTIF($F$11:$F$46,1)</f>
        <v>0</v>
      </c>
      <c r="G48" s="575">
        <f>COUNTIF($G$11:$G$46,1)</f>
        <v>0</v>
      </c>
      <c r="H48" s="574" t="str">
        <f>IF(SUM(D48:G48)=0,"",IF(SUM(D48:G48)&gt;0,SUM(D48:G48)/$C$47))</f>
        <v/>
      </c>
      <c r="I48" s="846" t="s">
        <v>385</v>
      </c>
      <c r="J48" s="847"/>
      <c r="K48" s="848" t="s">
        <v>384</v>
      </c>
    </row>
    <row r="49" spans="2:11" ht="15" customHeight="1" x14ac:dyDescent="0.25">
      <c r="B49" s="572" t="s">
        <v>383</v>
      </c>
      <c r="C49" s="573" t="s">
        <v>382</v>
      </c>
      <c r="D49" s="570">
        <f>COUNTIF($D$11:$D$46,2)</f>
        <v>0</v>
      </c>
      <c r="E49" s="413">
        <f>COUNTIF($E$11:$E$46,2)</f>
        <v>0</v>
      </c>
      <c r="F49" s="413">
        <f>COUNTIF($F$11:$F$46,2)</f>
        <v>0</v>
      </c>
      <c r="G49" s="569">
        <f>COUNTIF($G$11:$G$46,2)</f>
        <v>0</v>
      </c>
      <c r="H49" s="568" t="str">
        <f>IF(SUM(D49:G49)=0,"",IF(SUM(D49:G49)&gt;0,SUM(D49:G49)/$C$47))</f>
        <v/>
      </c>
      <c r="I49" s="851" t="s">
        <v>381</v>
      </c>
      <c r="J49" s="852"/>
      <c r="K49" s="849"/>
    </row>
    <row r="50" spans="2:11" ht="15" customHeight="1" x14ac:dyDescent="0.25">
      <c r="B50" s="572" t="s">
        <v>380</v>
      </c>
      <c r="C50" s="571" t="s">
        <v>379</v>
      </c>
      <c r="D50" s="570">
        <f>COUNTIF($D$11:$D$46,3)</f>
        <v>0</v>
      </c>
      <c r="E50" s="413">
        <f>COUNTIF($E$11:$E$46,3)</f>
        <v>0</v>
      </c>
      <c r="F50" s="413">
        <f>COUNTIF($F$11:$F$46,3)</f>
        <v>0</v>
      </c>
      <c r="G50" s="569">
        <f>COUNTIF($G$11:$G$46,3)</f>
        <v>0</v>
      </c>
      <c r="H50" s="568" t="str">
        <f>IF(SUM(D50:G50)=0,"",IF(SUM(D50:G50)&gt;0,SUM(D50:G50)/$C$47))</f>
        <v/>
      </c>
      <c r="I50" s="851" t="s">
        <v>378</v>
      </c>
      <c r="J50" s="852"/>
      <c r="K50" s="849"/>
    </row>
    <row r="51" spans="2:11" ht="15" customHeight="1" thickBot="1" x14ac:dyDescent="0.3">
      <c r="B51" s="567" t="s">
        <v>377</v>
      </c>
      <c r="C51" s="566" t="s">
        <v>376</v>
      </c>
      <c r="D51" s="565">
        <f>COUNTIF($D$11:$D$46,4)</f>
        <v>0</v>
      </c>
      <c r="E51" s="564">
        <f>COUNTIF($E$11:$E$46,4)</f>
        <v>0</v>
      </c>
      <c r="F51" s="564">
        <f>COUNTIF($F$11:$F$46,4)</f>
        <v>0</v>
      </c>
      <c r="G51" s="563">
        <f>COUNTIF($G$11:$G$46,4)</f>
        <v>0</v>
      </c>
      <c r="H51" s="562" t="str">
        <f>IF(SUM(D51:G51)=0,"",IF(SUM(D51:G51)&gt;0,SUM(D51:G51)/$C$47))</f>
        <v/>
      </c>
      <c r="I51" s="853" t="s">
        <v>375</v>
      </c>
      <c r="J51" s="854"/>
      <c r="K51" s="850"/>
    </row>
  </sheetData>
  <sheetProtection sheet="1" objects="1" scenarios="1"/>
  <mergeCells count="18">
    <mergeCell ref="I47:J47"/>
    <mergeCell ref="B2:C2"/>
    <mergeCell ref="D2:G2"/>
    <mergeCell ref="H2:L2"/>
    <mergeCell ref="D3:D8"/>
    <mergeCell ref="E3:E8"/>
    <mergeCell ref="F3:F8"/>
    <mergeCell ref="G3:G8"/>
    <mergeCell ref="B9:C9"/>
    <mergeCell ref="D9:G9"/>
    <mergeCell ref="H13:L13"/>
    <mergeCell ref="H24:L24"/>
    <mergeCell ref="H35:L35"/>
    <mergeCell ref="I48:J48"/>
    <mergeCell ref="K48:K51"/>
    <mergeCell ref="I49:J49"/>
    <mergeCell ref="I50:J50"/>
    <mergeCell ref="I51:J51"/>
  </mergeCells>
  <conditionalFormatting sqref="C40:C46 C11:C13 C15:C25 C27:C37">
    <cfRule type="expression" priority="5" stopIfTrue="1">
      <formula>$L11=""</formula>
    </cfRule>
    <cfRule type="expression" dxfId="767" priority="6" stopIfTrue="1">
      <formula>$L11&gt;9</formula>
    </cfRule>
    <cfRule type="expression" dxfId="766" priority="7" stopIfTrue="1">
      <formula>$L11&lt;0</formula>
    </cfRule>
  </conditionalFormatting>
  <conditionalFormatting sqref="D11:G46">
    <cfRule type="cellIs" dxfId="765" priority="1" operator="equal">
      <formula>4</formula>
    </cfRule>
    <cfRule type="cellIs" dxfId="764" priority="2" operator="equal">
      <formula>3</formula>
    </cfRule>
    <cfRule type="cellIs" dxfId="763" priority="3" operator="equal">
      <formula>2</formula>
    </cfRule>
    <cfRule type="cellIs" dxfId="762" priority="4" operator="equal">
      <formula>1</formula>
    </cfRule>
  </conditionalFormatting>
  <conditionalFormatting sqref="C14 C26 C38:C39">
    <cfRule type="expression" priority="8" stopIfTrue="1">
      <formula>#REF!=""</formula>
    </cfRule>
    <cfRule type="expression" dxfId="761" priority="9" stopIfTrue="1">
      <formula>#REF!&gt;9</formula>
    </cfRule>
    <cfRule type="expression" dxfId="760" priority="10" stopIfTrue="1">
      <formula>#REF!&lt;0</formula>
    </cfRule>
  </conditionalFormatting>
  <dataValidations count="1">
    <dataValidation type="list" allowBlank="1" showInputMessage="1" showErrorMessage="1" promptTitle="Voer de cijfers 1-2-3-4 in." prompt="_x000a_1 = makkie _x000a_2 = voldoende gemotiveerd_x000a_3 = stress_x000a_4 = weinig gemotiveerd" sqref="D11:G46" xr:uid="{368CF445-34A9-41DA-A789-2AE59E75DDD4}">
      <formula1>"1,2,3,4,"</formula1>
    </dataValidation>
  </dataValidations>
  <pageMargins left="0.70866141732283472" right="0.70866141732283472" top="0.74803149606299213" bottom="0.74803149606299213" header="0.31496062992125984" footer="0.31496062992125984"/>
  <pageSetup paperSize="9" orientation="portrait" horizontalDpi="4294967293" verticalDpi="300" r:id="rId1"/>
  <headerFooter>
    <oddHeader>&amp;CLijV-meter (meet betrokkenheid)</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B1:D36"/>
  <sheetViews>
    <sheetView showGridLines="0" showRowColHeaders="0" zoomScaleNormal="100" workbookViewId="0"/>
  </sheetViews>
  <sheetFormatPr defaultColWidth="9.1796875" defaultRowHeight="18.5" x14ac:dyDescent="0.45"/>
  <cols>
    <col min="1" max="1" width="9.1796875" style="45"/>
    <col min="2" max="3" width="5.7265625" style="45" customWidth="1"/>
    <col min="4" max="4" width="124.26953125" style="45" customWidth="1"/>
    <col min="5" max="16384" width="9.1796875" style="45"/>
  </cols>
  <sheetData>
    <row r="1" spans="2:4" ht="19.5" customHeight="1" thickBot="1" x14ac:dyDescent="0.5"/>
    <row r="2" spans="2:4" s="46" customFormat="1" ht="19.5" customHeight="1" thickBot="1" x14ac:dyDescent="0.3">
      <c r="B2" s="873" t="str">
        <f>BEGINBLAD!$I$3</f>
        <v>groep 7</v>
      </c>
      <c r="C2" s="874"/>
      <c r="D2" s="46" t="s">
        <v>62</v>
      </c>
    </row>
    <row r="3" spans="2:4" ht="19.5" customHeight="1" thickBot="1" x14ac:dyDescent="0.5">
      <c r="D3" s="47"/>
    </row>
    <row r="4" spans="2:4" ht="19.5" customHeight="1" x14ac:dyDescent="0.45">
      <c r="C4" s="870" t="s">
        <v>63</v>
      </c>
      <c r="D4" s="74"/>
    </row>
    <row r="5" spans="2:4" ht="19.5" customHeight="1" x14ac:dyDescent="0.45">
      <c r="C5" s="871"/>
      <c r="D5" s="75"/>
    </row>
    <row r="6" spans="2:4" ht="19.5" customHeight="1" x14ac:dyDescent="0.45">
      <c r="C6" s="871"/>
      <c r="D6" s="75"/>
    </row>
    <row r="7" spans="2:4" ht="19.5" customHeight="1" x14ac:dyDescent="0.45">
      <c r="C7" s="871"/>
      <c r="D7" s="75"/>
    </row>
    <row r="8" spans="2:4" ht="19.5" customHeight="1" x14ac:dyDescent="0.45">
      <c r="C8" s="871"/>
      <c r="D8" s="75"/>
    </row>
    <row r="9" spans="2:4" ht="19.5" customHeight="1" x14ac:dyDescent="0.45">
      <c r="C9" s="871"/>
      <c r="D9" s="75"/>
    </row>
    <row r="10" spans="2:4" ht="19.5" customHeight="1" x14ac:dyDescent="0.45">
      <c r="C10" s="871"/>
      <c r="D10" s="75"/>
    </row>
    <row r="11" spans="2:4" ht="19.5" customHeight="1" x14ac:dyDescent="0.45">
      <c r="C11" s="871"/>
      <c r="D11" s="75"/>
    </row>
    <row r="12" spans="2:4" ht="19.5" customHeight="1" x14ac:dyDescent="0.45">
      <c r="C12" s="871"/>
      <c r="D12" s="75"/>
    </row>
    <row r="13" spans="2:4" ht="19.5" customHeight="1" x14ac:dyDescent="0.45">
      <c r="C13" s="871"/>
      <c r="D13" s="75"/>
    </row>
    <row r="14" spans="2:4" ht="19.5" customHeight="1" thickBot="1" x14ac:dyDescent="0.5">
      <c r="C14" s="872"/>
      <c r="D14" s="76"/>
    </row>
    <row r="15" spans="2:4" ht="19.5" customHeight="1" thickBot="1" x14ac:dyDescent="0.5">
      <c r="C15" s="73"/>
      <c r="D15" s="77"/>
    </row>
    <row r="16" spans="2:4" ht="19.5" customHeight="1" x14ac:dyDescent="0.45">
      <c r="C16" s="870" t="s">
        <v>64</v>
      </c>
      <c r="D16" s="74"/>
    </row>
    <row r="17" spans="3:4" ht="19.5" customHeight="1" x14ac:dyDescent="0.45">
      <c r="C17" s="871"/>
      <c r="D17" s="75"/>
    </row>
    <row r="18" spans="3:4" ht="19.5" customHeight="1" x14ac:dyDescent="0.45">
      <c r="C18" s="871"/>
      <c r="D18" s="75"/>
    </row>
    <row r="19" spans="3:4" ht="19.5" customHeight="1" x14ac:dyDescent="0.45">
      <c r="C19" s="871"/>
      <c r="D19" s="75"/>
    </row>
    <row r="20" spans="3:4" ht="19.5" customHeight="1" x14ac:dyDescent="0.45">
      <c r="C20" s="871"/>
      <c r="D20" s="75"/>
    </row>
    <row r="21" spans="3:4" ht="19.5" customHeight="1" x14ac:dyDescent="0.45">
      <c r="C21" s="871"/>
      <c r="D21" s="75"/>
    </row>
    <row r="22" spans="3:4" ht="19.5" customHeight="1" x14ac:dyDescent="0.45">
      <c r="C22" s="871"/>
      <c r="D22" s="75"/>
    </row>
    <row r="23" spans="3:4" ht="19.5" customHeight="1" x14ac:dyDescent="0.45">
      <c r="C23" s="871"/>
      <c r="D23" s="75"/>
    </row>
    <row r="24" spans="3:4" ht="19.5" customHeight="1" x14ac:dyDescent="0.45">
      <c r="C24" s="871"/>
      <c r="D24" s="75"/>
    </row>
    <row r="25" spans="3:4" ht="19.5" customHeight="1" x14ac:dyDescent="0.45">
      <c r="C25" s="871"/>
      <c r="D25" s="75"/>
    </row>
    <row r="26" spans="3:4" ht="19.5" customHeight="1" thickBot="1" x14ac:dyDescent="0.5">
      <c r="C26" s="872"/>
      <c r="D26" s="76"/>
    </row>
    <row r="27" spans="3:4" ht="19.5" customHeight="1" x14ac:dyDescent="0.45">
      <c r="C27" s="55"/>
      <c r="D27" s="55"/>
    </row>
    <row r="28" spans="3:4" ht="19.5" customHeight="1" x14ac:dyDescent="0.45">
      <c r="C28" s="78"/>
      <c r="D28" s="78"/>
    </row>
    <row r="29" spans="3:4" ht="19.5" customHeight="1" x14ac:dyDescent="0.45">
      <c r="C29" s="72"/>
      <c r="D29" s="72"/>
    </row>
    <row r="30" spans="3:4" ht="19.5" customHeight="1" x14ac:dyDescent="0.45">
      <c r="C30" s="72"/>
      <c r="D30" s="72"/>
    </row>
    <row r="31" spans="3:4" ht="19.5" customHeight="1" x14ac:dyDescent="0.45">
      <c r="C31" s="72"/>
      <c r="D31" s="72"/>
    </row>
    <row r="32" spans="3:4" ht="19.5" customHeight="1" x14ac:dyDescent="0.45">
      <c r="C32" s="72"/>
      <c r="D32" s="72"/>
    </row>
    <row r="33" spans="3:4" ht="19.5" customHeight="1" x14ac:dyDescent="0.45">
      <c r="C33" s="72"/>
      <c r="D33" s="72"/>
    </row>
    <row r="34" spans="3:4" ht="19.5" customHeight="1" x14ac:dyDescent="0.45">
      <c r="C34" s="72"/>
      <c r="D34" s="72"/>
    </row>
    <row r="35" spans="3:4" ht="19.5" customHeight="1" x14ac:dyDescent="0.45">
      <c r="C35" s="72"/>
      <c r="D35" s="72"/>
    </row>
    <row r="36" spans="3:4" ht="19.5" customHeight="1" x14ac:dyDescent="0.45">
      <c r="C36" s="72"/>
      <c r="D36" s="72"/>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Normal="100" zoomScaleSheetLayoutView="50" workbookViewId="0">
      <selection activeCell="I8" sqref="I8:I12"/>
    </sheetView>
  </sheetViews>
  <sheetFormatPr defaultColWidth="9.1796875" defaultRowHeight="12.5" x14ac:dyDescent="0.25"/>
  <cols>
    <col min="1" max="1" width="5.7265625" style="190" customWidth="1"/>
    <col min="2" max="2" width="4.81640625" style="190" customWidth="1"/>
    <col min="3" max="3" width="60.7265625" style="190" customWidth="1"/>
    <col min="4" max="4" width="5.7265625" style="190" customWidth="1"/>
    <col min="5" max="5" width="4.81640625" style="190" customWidth="1"/>
    <col min="6" max="6" width="60.7265625" style="190" customWidth="1"/>
    <col min="7" max="7" width="5.7265625" style="190" customWidth="1"/>
    <col min="8" max="8" width="4.81640625" style="190" customWidth="1"/>
    <col min="9" max="9" width="60.7265625" style="190" customWidth="1"/>
    <col min="10" max="16384" width="9.1796875" style="190"/>
  </cols>
  <sheetData>
    <row r="2" spans="2:9" ht="21.5" x14ac:dyDescent="0.6">
      <c r="B2" s="885" t="s">
        <v>133</v>
      </c>
      <c r="C2" s="885"/>
      <c r="D2" s="885"/>
      <c r="E2" s="885"/>
      <c r="F2" s="885"/>
      <c r="G2" s="885"/>
      <c r="H2" s="885"/>
      <c r="I2" s="885"/>
    </row>
    <row r="3" spans="2:9" ht="13" thickBot="1" x14ac:dyDescent="0.3"/>
    <row r="4" spans="2:9" s="185" customFormat="1" ht="16" thickBot="1" x14ac:dyDescent="0.5">
      <c r="B4" s="880" t="s">
        <v>124</v>
      </c>
      <c r="C4" s="881"/>
      <c r="D4" s="193"/>
      <c r="E4" s="880" t="s">
        <v>132</v>
      </c>
      <c r="F4" s="881"/>
      <c r="G4" s="193"/>
      <c r="H4" s="880" t="s">
        <v>155</v>
      </c>
      <c r="I4" s="881"/>
    </row>
    <row r="5" spans="2:9" ht="13" thickBot="1" x14ac:dyDescent="0.3"/>
    <row r="6" spans="2:9" ht="19.5" customHeight="1" x14ac:dyDescent="0.25">
      <c r="B6" s="882" t="s">
        <v>70</v>
      </c>
      <c r="C6" s="883" t="s">
        <v>333</v>
      </c>
      <c r="E6" s="882" t="s">
        <v>70</v>
      </c>
      <c r="F6" s="883" t="s">
        <v>335</v>
      </c>
      <c r="H6" s="882" t="s">
        <v>70</v>
      </c>
      <c r="I6" s="883" t="s">
        <v>337</v>
      </c>
    </row>
    <row r="7" spans="2:9" ht="19.5" customHeight="1" x14ac:dyDescent="0.25">
      <c r="B7" s="875"/>
      <c r="C7" s="884"/>
      <c r="E7" s="875"/>
      <c r="F7" s="886"/>
      <c r="H7" s="875"/>
      <c r="I7" s="884"/>
    </row>
    <row r="8" spans="2:9" ht="19.5" customHeight="1" x14ac:dyDescent="0.25">
      <c r="B8" s="875" t="s">
        <v>71</v>
      </c>
      <c r="C8" s="877" t="s">
        <v>471</v>
      </c>
      <c r="E8" s="875" t="s">
        <v>71</v>
      </c>
      <c r="F8" s="877" t="s">
        <v>396</v>
      </c>
      <c r="H8" s="875" t="s">
        <v>71</v>
      </c>
      <c r="I8" s="877" t="s">
        <v>395</v>
      </c>
    </row>
    <row r="9" spans="2:9" ht="19.5" customHeight="1" x14ac:dyDescent="0.25">
      <c r="B9" s="875"/>
      <c r="C9" s="878"/>
      <c r="E9" s="875"/>
      <c r="F9" s="887"/>
      <c r="H9" s="875"/>
      <c r="I9" s="878"/>
    </row>
    <row r="10" spans="2:9" ht="19.5" customHeight="1" x14ac:dyDescent="0.25">
      <c r="B10" s="875"/>
      <c r="C10" s="878"/>
      <c r="E10" s="875"/>
      <c r="F10" s="887"/>
      <c r="H10" s="875"/>
      <c r="I10" s="878"/>
    </row>
    <row r="11" spans="2:9" ht="19.5" customHeight="1" x14ac:dyDescent="0.25">
      <c r="B11" s="875"/>
      <c r="C11" s="878"/>
      <c r="E11" s="875"/>
      <c r="F11" s="887"/>
      <c r="H11" s="875"/>
      <c r="I11" s="878"/>
    </row>
    <row r="12" spans="2:9" ht="19.5" customHeight="1" thickBot="1" x14ac:dyDescent="0.3">
      <c r="B12" s="876"/>
      <c r="C12" s="879"/>
      <c r="E12" s="876"/>
      <c r="F12" s="888"/>
      <c r="H12" s="876"/>
      <c r="I12" s="879"/>
    </row>
    <row r="14" spans="2:9" ht="13" thickBot="1" x14ac:dyDescent="0.3"/>
    <row r="15" spans="2:9" s="185" customFormat="1" ht="16" thickBot="1" x14ac:dyDescent="0.5">
      <c r="B15" s="880" t="s">
        <v>145</v>
      </c>
      <c r="C15" s="881"/>
      <c r="D15" s="193"/>
      <c r="E15" s="880" t="s">
        <v>154</v>
      </c>
      <c r="F15" s="881"/>
      <c r="G15" s="193"/>
      <c r="H15" s="194"/>
      <c r="I15" s="194"/>
    </row>
    <row r="16" spans="2:9" ht="13" thickBot="1" x14ac:dyDescent="0.3">
      <c r="H16" s="195"/>
      <c r="I16" s="195"/>
    </row>
    <row r="17" spans="2:9" ht="19.5" customHeight="1" x14ac:dyDescent="0.25">
      <c r="B17" s="882" t="s">
        <v>70</v>
      </c>
      <c r="C17" s="883" t="s">
        <v>334</v>
      </c>
      <c r="E17" s="882" t="s">
        <v>70</v>
      </c>
      <c r="F17" s="883" t="s">
        <v>336</v>
      </c>
      <c r="H17" s="196"/>
      <c r="I17" s="187"/>
    </row>
    <row r="18" spans="2:9" ht="19.5" customHeight="1" x14ac:dyDescent="0.25">
      <c r="B18" s="875"/>
      <c r="C18" s="884"/>
      <c r="E18" s="875"/>
      <c r="F18" s="884"/>
      <c r="H18" s="196"/>
      <c r="I18" s="197"/>
    </row>
    <row r="19" spans="2:9" ht="19.5" customHeight="1" x14ac:dyDescent="0.25">
      <c r="B19" s="875" t="s">
        <v>71</v>
      </c>
      <c r="C19" s="877" t="s">
        <v>394</v>
      </c>
      <c r="E19" s="875" t="s">
        <v>71</v>
      </c>
      <c r="F19" s="877" t="s">
        <v>472</v>
      </c>
      <c r="H19" s="196"/>
      <c r="I19" s="198"/>
    </row>
    <row r="20" spans="2:9" ht="19.5" customHeight="1" x14ac:dyDescent="0.25">
      <c r="B20" s="875"/>
      <c r="C20" s="878"/>
      <c r="E20" s="875"/>
      <c r="F20" s="878"/>
      <c r="H20" s="196"/>
      <c r="I20" s="198"/>
    </row>
    <row r="21" spans="2:9" ht="19.5" customHeight="1" x14ac:dyDescent="0.25">
      <c r="B21" s="875"/>
      <c r="C21" s="878"/>
      <c r="E21" s="875"/>
      <c r="F21" s="878"/>
      <c r="H21" s="196"/>
      <c r="I21" s="198"/>
    </row>
    <row r="22" spans="2:9" ht="19.5" customHeight="1" x14ac:dyDescent="0.25">
      <c r="B22" s="875"/>
      <c r="C22" s="878"/>
      <c r="E22" s="875"/>
      <c r="F22" s="878"/>
      <c r="H22" s="196"/>
      <c r="I22" s="198"/>
    </row>
    <row r="23" spans="2:9" ht="19.5" customHeight="1" thickBot="1" x14ac:dyDescent="0.3">
      <c r="B23" s="876"/>
      <c r="C23" s="879"/>
      <c r="E23" s="876"/>
      <c r="F23" s="879"/>
      <c r="H23" s="196"/>
      <c r="I23" s="198"/>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topLeftCell="D1" zoomScaleNormal="100" zoomScaleSheetLayoutView="50" workbookViewId="0">
      <selection activeCell="I8" sqref="I8:I12"/>
    </sheetView>
  </sheetViews>
  <sheetFormatPr defaultColWidth="9.1796875" defaultRowHeight="12.5" x14ac:dyDescent="0.25"/>
  <cols>
    <col min="1" max="1" width="5.7265625" style="190" customWidth="1"/>
    <col min="2" max="2" width="4.81640625" style="190" customWidth="1"/>
    <col min="3" max="3" width="60.7265625" style="190" customWidth="1"/>
    <col min="4" max="4" width="5.7265625" style="190" customWidth="1"/>
    <col min="5" max="5" width="4.81640625" style="190" customWidth="1"/>
    <col min="6" max="6" width="60.7265625" style="190" customWidth="1"/>
    <col min="7" max="7" width="5.7265625" style="190" customWidth="1"/>
    <col min="8" max="8" width="4.81640625" style="190" customWidth="1"/>
    <col min="9" max="9" width="60.7265625" style="190" customWidth="1"/>
    <col min="10" max="16384" width="9.1796875" style="190"/>
  </cols>
  <sheetData>
    <row r="2" spans="2:9" ht="21.5" x14ac:dyDescent="0.6">
      <c r="B2" s="885" t="s">
        <v>134</v>
      </c>
      <c r="C2" s="885"/>
      <c r="D2" s="885"/>
      <c r="E2" s="885"/>
      <c r="F2" s="885"/>
      <c r="G2" s="885"/>
      <c r="H2" s="885"/>
      <c r="I2" s="885"/>
    </row>
    <row r="3" spans="2:9" ht="13" thickBot="1" x14ac:dyDescent="0.3"/>
    <row r="4" spans="2:9" s="185" customFormat="1" ht="16" thickBot="1" x14ac:dyDescent="0.5">
      <c r="B4" s="880" t="s">
        <v>124</v>
      </c>
      <c r="C4" s="881"/>
      <c r="D4" s="193"/>
      <c r="E4" s="880" t="s">
        <v>132</v>
      </c>
      <c r="F4" s="881"/>
      <c r="G4" s="193"/>
      <c r="H4" s="880" t="s">
        <v>155</v>
      </c>
      <c r="I4" s="881"/>
    </row>
    <row r="5" spans="2:9" ht="13" thickBot="1" x14ac:dyDescent="0.3"/>
    <row r="6" spans="2:9" ht="19.5" customHeight="1" x14ac:dyDescent="0.25">
      <c r="B6" s="882" t="s">
        <v>70</v>
      </c>
      <c r="C6" s="883" t="s">
        <v>338</v>
      </c>
      <c r="E6" s="882" t="s">
        <v>70</v>
      </c>
      <c r="F6" s="883" t="s">
        <v>338</v>
      </c>
      <c r="H6" s="882" t="s">
        <v>70</v>
      </c>
      <c r="I6" s="883" t="s">
        <v>341</v>
      </c>
    </row>
    <row r="7" spans="2:9" ht="19.5" customHeight="1" x14ac:dyDescent="0.25">
      <c r="B7" s="875"/>
      <c r="C7" s="886"/>
      <c r="E7" s="875"/>
      <c r="F7" s="886"/>
      <c r="H7" s="875"/>
      <c r="I7" s="884"/>
    </row>
    <row r="8" spans="2:9" ht="19.5" customHeight="1" x14ac:dyDescent="0.25">
      <c r="B8" s="875" t="s">
        <v>71</v>
      </c>
      <c r="C8" s="877" t="s">
        <v>392</v>
      </c>
      <c r="E8" s="875" t="s">
        <v>71</v>
      </c>
      <c r="F8" s="877" t="s">
        <v>373</v>
      </c>
      <c r="H8" s="875" t="s">
        <v>71</v>
      </c>
      <c r="I8" s="877" t="s">
        <v>473</v>
      </c>
    </row>
    <row r="9" spans="2:9" ht="19.5" customHeight="1" x14ac:dyDescent="0.25">
      <c r="B9" s="875"/>
      <c r="C9" s="887"/>
      <c r="E9" s="875"/>
      <c r="F9" s="887"/>
      <c r="H9" s="875"/>
      <c r="I9" s="878"/>
    </row>
    <row r="10" spans="2:9" ht="19.5" customHeight="1" x14ac:dyDescent="0.25">
      <c r="B10" s="875"/>
      <c r="C10" s="887"/>
      <c r="E10" s="875"/>
      <c r="F10" s="887"/>
      <c r="H10" s="875"/>
      <c r="I10" s="878"/>
    </row>
    <row r="11" spans="2:9" ht="19.5" customHeight="1" x14ac:dyDescent="0.25">
      <c r="B11" s="875"/>
      <c r="C11" s="887"/>
      <c r="E11" s="875"/>
      <c r="F11" s="887"/>
      <c r="H11" s="875"/>
      <c r="I11" s="878"/>
    </row>
    <row r="12" spans="2:9" ht="19.5" customHeight="1" thickBot="1" x14ac:dyDescent="0.3">
      <c r="B12" s="876"/>
      <c r="C12" s="888"/>
      <c r="E12" s="876"/>
      <c r="F12" s="888"/>
      <c r="H12" s="876"/>
      <c r="I12" s="879"/>
    </row>
    <row r="14" spans="2:9" ht="13" thickBot="1" x14ac:dyDescent="0.3"/>
    <row r="15" spans="2:9" s="185" customFormat="1" ht="16" thickBot="1" x14ac:dyDescent="0.5">
      <c r="B15" s="880" t="s">
        <v>145</v>
      </c>
      <c r="C15" s="881"/>
      <c r="D15" s="193"/>
      <c r="E15" s="880" t="s">
        <v>154</v>
      </c>
      <c r="F15" s="881"/>
      <c r="G15" s="193"/>
      <c r="H15" s="194"/>
      <c r="I15" s="194"/>
    </row>
    <row r="16" spans="2:9" ht="13" thickBot="1" x14ac:dyDescent="0.3">
      <c r="H16" s="195"/>
      <c r="I16" s="195"/>
    </row>
    <row r="17" spans="2:9" ht="19.5" customHeight="1" x14ac:dyDescent="0.25">
      <c r="B17" s="882" t="s">
        <v>70</v>
      </c>
      <c r="C17" s="883" t="s">
        <v>339</v>
      </c>
      <c r="E17" s="882" t="s">
        <v>70</v>
      </c>
      <c r="F17" s="883" t="s">
        <v>340</v>
      </c>
      <c r="H17" s="196"/>
      <c r="I17" s="187"/>
    </row>
    <row r="18" spans="2:9" ht="19.5" customHeight="1" x14ac:dyDescent="0.25">
      <c r="B18" s="875"/>
      <c r="C18" s="884"/>
      <c r="E18" s="875"/>
      <c r="F18" s="884"/>
      <c r="H18" s="196"/>
      <c r="I18" s="197"/>
    </row>
    <row r="19" spans="2:9" ht="19.5" customHeight="1" x14ac:dyDescent="0.25">
      <c r="B19" s="875" t="s">
        <v>71</v>
      </c>
      <c r="C19" s="877" t="s">
        <v>359</v>
      </c>
      <c r="E19" s="875" t="s">
        <v>71</v>
      </c>
      <c r="F19" s="877" t="s">
        <v>360</v>
      </c>
      <c r="H19" s="196"/>
      <c r="I19" s="198"/>
    </row>
    <row r="20" spans="2:9" ht="19.5" customHeight="1" x14ac:dyDescent="0.25">
      <c r="B20" s="875"/>
      <c r="C20" s="878"/>
      <c r="E20" s="875"/>
      <c r="F20" s="878"/>
      <c r="H20" s="196"/>
      <c r="I20" s="198"/>
    </row>
    <row r="21" spans="2:9" ht="19.5" customHeight="1" x14ac:dyDescent="0.25">
      <c r="B21" s="875"/>
      <c r="C21" s="878"/>
      <c r="E21" s="875"/>
      <c r="F21" s="878"/>
      <c r="H21" s="196"/>
      <c r="I21" s="198"/>
    </row>
    <row r="22" spans="2:9" ht="19.5" customHeight="1" x14ac:dyDescent="0.25">
      <c r="B22" s="875"/>
      <c r="C22" s="878"/>
      <c r="E22" s="875"/>
      <c r="F22" s="878"/>
      <c r="H22" s="196"/>
      <c r="I22" s="198"/>
    </row>
    <row r="23" spans="2:9" ht="19.5" customHeight="1" thickBot="1" x14ac:dyDescent="0.3">
      <c r="B23" s="876"/>
      <c r="C23" s="879"/>
      <c r="E23" s="876"/>
      <c r="F23" s="879"/>
      <c r="H23" s="196"/>
      <c r="I23" s="198"/>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5" x14ac:dyDescent="0.25"/>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zoomScaleNormal="100" zoomScaleSheetLayoutView="50" workbookViewId="0">
      <selection activeCell="F8" sqref="F8:F12"/>
    </sheetView>
  </sheetViews>
  <sheetFormatPr defaultColWidth="9.1796875" defaultRowHeight="12.5" x14ac:dyDescent="0.25"/>
  <cols>
    <col min="1" max="1" width="5.7265625" style="190" customWidth="1"/>
    <col min="2" max="2" width="4.81640625" style="190" customWidth="1"/>
    <col min="3" max="3" width="60.7265625" style="190" customWidth="1"/>
    <col min="4" max="4" width="5.7265625" style="190" customWidth="1"/>
    <col min="5" max="5" width="4.81640625" style="190" customWidth="1"/>
    <col min="6" max="6" width="60.7265625" style="190" customWidth="1"/>
    <col min="7" max="7" width="5.7265625" style="190" customWidth="1"/>
    <col min="8" max="8" width="4.81640625" style="190" customWidth="1"/>
    <col min="9" max="9" width="60.7265625" style="190" customWidth="1"/>
    <col min="10" max="16384" width="9.1796875" style="190"/>
  </cols>
  <sheetData>
    <row r="2" spans="2:9" ht="21.5" x14ac:dyDescent="0.6">
      <c r="B2" s="885" t="s">
        <v>138</v>
      </c>
      <c r="C2" s="885"/>
      <c r="D2" s="885"/>
      <c r="E2" s="885"/>
      <c r="F2" s="885"/>
      <c r="G2" s="885"/>
      <c r="H2" s="885"/>
      <c r="I2" s="885"/>
    </row>
    <row r="3" spans="2:9" ht="13" thickBot="1" x14ac:dyDescent="0.3"/>
    <row r="4" spans="2:9" s="185" customFormat="1" ht="16" thickBot="1" x14ac:dyDescent="0.5">
      <c r="B4" s="880" t="s">
        <v>137</v>
      </c>
      <c r="C4" s="881"/>
      <c r="D4" s="193"/>
      <c r="E4" s="880" t="s">
        <v>139</v>
      </c>
      <c r="F4" s="881"/>
      <c r="G4" s="193"/>
      <c r="H4" s="880" t="s">
        <v>155</v>
      </c>
      <c r="I4" s="881"/>
    </row>
    <row r="5" spans="2:9" ht="13" thickBot="1" x14ac:dyDescent="0.3"/>
    <row r="6" spans="2:9" ht="19.5" customHeight="1" x14ac:dyDescent="0.25">
      <c r="B6" s="882" t="s">
        <v>70</v>
      </c>
      <c r="C6" s="883" t="s">
        <v>342</v>
      </c>
      <c r="E6" s="882" t="s">
        <v>70</v>
      </c>
      <c r="F6" s="883" t="s">
        <v>374</v>
      </c>
      <c r="H6" s="882" t="s">
        <v>70</v>
      </c>
      <c r="I6" s="901"/>
    </row>
    <row r="7" spans="2:9" ht="19.5" customHeight="1" x14ac:dyDescent="0.25">
      <c r="B7" s="875"/>
      <c r="C7" s="884"/>
      <c r="E7" s="875"/>
      <c r="F7" s="886"/>
      <c r="H7" s="875"/>
      <c r="I7" s="902"/>
    </row>
    <row r="8" spans="2:9" ht="19.5" customHeight="1" x14ac:dyDescent="0.25">
      <c r="B8" s="875" t="s">
        <v>71</v>
      </c>
      <c r="C8" s="877" t="s">
        <v>393</v>
      </c>
      <c r="E8" s="875" t="s">
        <v>71</v>
      </c>
      <c r="F8" s="877" t="s">
        <v>476</v>
      </c>
      <c r="H8" s="875" t="s">
        <v>71</v>
      </c>
      <c r="I8" s="898"/>
    </row>
    <row r="9" spans="2:9" ht="19.5" customHeight="1" x14ac:dyDescent="0.25">
      <c r="B9" s="875"/>
      <c r="C9" s="878"/>
      <c r="E9" s="875"/>
      <c r="F9" s="887"/>
      <c r="H9" s="875"/>
      <c r="I9" s="899"/>
    </row>
    <row r="10" spans="2:9" ht="19.5" customHeight="1" x14ac:dyDescent="0.25">
      <c r="B10" s="875"/>
      <c r="C10" s="878"/>
      <c r="E10" s="875"/>
      <c r="F10" s="887"/>
      <c r="H10" s="875"/>
      <c r="I10" s="899"/>
    </row>
    <row r="11" spans="2:9" ht="19.5" customHeight="1" x14ac:dyDescent="0.25">
      <c r="B11" s="875"/>
      <c r="C11" s="878"/>
      <c r="E11" s="875"/>
      <c r="F11" s="887"/>
      <c r="H11" s="875"/>
      <c r="I11" s="899"/>
    </row>
    <row r="12" spans="2:9" ht="19.5" customHeight="1" thickBot="1" x14ac:dyDescent="0.3">
      <c r="B12" s="876"/>
      <c r="C12" s="879"/>
      <c r="E12" s="876"/>
      <c r="F12" s="888"/>
      <c r="H12" s="876"/>
      <c r="I12" s="900"/>
    </row>
    <row r="14" spans="2:9" ht="13" thickBot="1" x14ac:dyDescent="0.3"/>
    <row r="15" spans="2:9" s="185" customFormat="1" ht="16" thickBot="1" x14ac:dyDescent="0.5">
      <c r="B15" s="880" t="s">
        <v>145</v>
      </c>
      <c r="C15" s="881"/>
      <c r="D15" s="193"/>
      <c r="E15" s="880" t="s">
        <v>154</v>
      </c>
      <c r="F15" s="881"/>
      <c r="G15" s="193"/>
      <c r="H15" s="194"/>
      <c r="I15" s="194"/>
    </row>
    <row r="16" spans="2:9" ht="13" thickBot="1" x14ac:dyDescent="0.3">
      <c r="H16" s="195"/>
      <c r="I16" s="195"/>
    </row>
    <row r="17" spans="2:9" ht="19.5" customHeight="1" x14ac:dyDescent="0.25">
      <c r="B17" s="882" t="s">
        <v>70</v>
      </c>
      <c r="C17" s="883" t="s">
        <v>343</v>
      </c>
      <c r="E17" s="882" t="s">
        <v>70</v>
      </c>
      <c r="F17" s="883"/>
      <c r="H17" s="196"/>
      <c r="I17" s="187"/>
    </row>
    <row r="18" spans="2:9" ht="19.5" customHeight="1" x14ac:dyDescent="0.25">
      <c r="B18" s="875"/>
      <c r="C18" s="884"/>
      <c r="E18" s="875"/>
      <c r="F18" s="884"/>
      <c r="H18" s="196"/>
      <c r="I18" s="197"/>
    </row>
    <row r="19" spans="2:9" ht="19.5" customHeight="1" x14ac:dyDescent="0.25">
      <c r="B19" s="875" t="s">
        <v>71</v>
      </c>
      <c r="C19" s="877" t="s">
        <v>474</v>
      </c>
      <c r="E19" s="875" t="s">
        <v>71</v>
      </c>
      <c r="F19" s="877" t="s">
        <v>475</v>
      </c>
      <c r="H19" s="196"/>
      <c r="I19" s="198"/>
    </row>
    <row r="20" spans="2:9" ht="19.5" customHeight="1" x14ac:dyDescent="0.25">
      <c r="B20" s="875"/>
      <c r="C20" s="878"/>
      <c r="E20" s="875"/>
      <c r="F20" s="878"/>
      <c r="H20" s="196"/>
      <c r="I20" s="198"/>
    </row>
    <row r="21" spans="2:9" ht="19.5" customHeight="1" x14ac:dyDescent="0.25">
      <c r="B21" s="875"/>
      <c r="C21" s="878"/>
      <c r="E21" s="875"/>
      <c r="F21" s="878"/>
      <c r="H21" s="196"/>
      <c r="I21" s="198"/>
    </row>
    <row r="22" spans="2:9" ht="19.5" customHeight="1" x14ac:dyDescent="0.25">
      <c r="B22" s="875"/>
      <c r="C22" s="878"/>
      <c r="E22" s="875"/>
      <c r="F22" s="878"/>
      <c r="H22" s="196"/>
      <c r="I22" s="198"/>
    </row>
    <row r="23" spans="2:9" ht="19.5" customHeight="1" thickBot="1" x14ac:dyDescent="0.3">
      <c r="B23" s="876"/>
      <c r="C23" s="879"/>
      <c r="E23" s="876"/>
      <c r="F23" s="879"/>
      <c r="H23" s="196"/>
      <c r="I23" s="198"/>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12 I6:I12 C17:C19 I17:I19 F6:F8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Normal="100" zoomScaleSheetLayoutView="50" workbookViewId="0">
      <selection activeCell="F17" sqref="F17:F18"/>
    </sheetView>
  </sheetViews>
  <sheetFormatPr defaultColWidth="9.1796875" defaultRowHeight="12.5" x14ac:dyDescent="0.25"/>
  <cols>
    <col min="1" max="1" width="5.7265625" style="190" customWidth="1"/>
    <col min="2" max="2" width="4.81640625" style="190" customWidth="1"/>
    <col min="3" max="3" width="60.7265625" style="190" customWidth="1"/>
    <col min="4" max="4" width="5.7265625" style="190" customWidth="1"/>
    <col min="5" max="5" width="4.81640625" style="190" customWidth="1"/>
    <col min="6" max="6" width="60.7265625" style="190" customWidth="1"/>
    <col min="7" max="7" width="5.7265625" style="190" customWidth="1"/>
    <col min="8" max="8" width="4.81640625" style="190" customWidth="1"/>
    <col min="9" max="9" width="60.7265625" style="190" customWidth="1"/>
    <col min="10" max="16384" width="9.1796875" style="190"/>
  </cols>
  <sheetData>
    <row r="2" spans="2:9" ht="21.5" x14ac:dyDescent="0.6">
      <c r="B2" s="885" t="s">
        <v>140</v>
      </c>
      <c r="C2" s="885"/>
      <c r="D2" s="885"/>
      <c r="E2" s="885"/>
      <c r="F2" s="885"/>
      <c r="G2" s="885"/>
      <c r="H2" s="885"/>
      <c r="I2" s="885"/>
    </row>
    <row r="3" spans="2:9" ht="13" thickBot="1" x14ac:dyDescent="0.3"/>
    <row r="4" spans="2:9" s="185" customFormat="1" ht="16" thickBot="1" x14ac:dyDescent="0.5">
      <c r="B4" s="880" t="s">
        <v>135</v>
      </c>
      <c r="C4" s="881"/>
      <c r="D4" s="193"/>
      <c r="E4" s="880" t="s">
        <v>136</v>
      </c>
      <c r="F4" s="881"/>
      <c r="G4" s="193"/>
      <c r="H4" s="880" t="s">
        <v>155</v>
      </c>
      <c r="I4" s="881"/>
    </row>
    <row r="5" spans="2:9" ht="13" thickBot="1" x14ac:dyDescent="0.3"/>
    <row r="6" spans="2:9" ht="19.5" customHeight="1" x14ac:dyDescent="0.25">
      <c r="B6" s="882" t="s">
        <v>70</v>
      </c>
      <c r="C6" s="894" t="str">
        <f>'VERRIJKT - 1e periode'!C6</f>
        <v>Leesplezier bevorderen, leesniveau 0,5 punt omhoog, Avi één niveau omhoog (of behouden)</v>
      </c>
      <c r="E6" s="882" t="s">
        <v>70</v>
      </c>
      <c r="F6" s="892" t="str">
        <f>'VERRIJKT - 1e periode'!F6</f>
        <v>Uitdaging bieden.</v>
      </c>
      <c r="H6" s="882" t="s">
        <v>70</v>
      </c>
      <c r="I6" s="903">
        <f>'VERRIJKT - 1e periode'!I6</f>
        <v>0</v>
      </c>
    </row>
    <row r="7" spans="2:9" ht="19.5" customHeight="1" x14ac:dyDescent="0.25">
      <c r="B7" s="875"/>
      <c r="C7" s="895"/>
      <c r="E7" s="875"/>
      <c r="F7" s="893"/>
      <c r="H7" s="875"/>
      <c r="I7" s="895"/>
    </row>
    <row r="8" spans="2:9" ht="19.5" customHeight="1" x14ac:dyDescent="0.25">
      <c r="B8" s="875" t="s">
        <v>71</v>
      </c>
      <c r="C8" s="904" t="str">
        <f>'VERRIJKT - 1e periode'!$C$8</f>
        <v xml:space="preserve">Tutorlezen met groep 3, Levelwerk, toneellezen </v>
      </c>
      <c r="E8" s="875" t="s">
        <v>71</v>
      </c>
      <c r="F8" s="889" t="str">
        <f>'VERRIJKT - 1e periode'!F8</f>
        <v>Levelwerk, pluswerkboek taal, C-niveau Nieuwsbegrip voor: D, M, B, G, J</v>
      </c>
      <c r="H8" s="875" t="s">
        <v>71</v>
      </c>
      <c r="I8" s="889">
        <f>'VERRIJKT - 1e periode'!I8</f>
        <v>0</v>
      </c>
    </row>
    <row r="9" spans="2:9" ht="19.5" customHeight="1" x14ac:dyDescent="0.25">
      <c r="B9" s="875"/>
      <c r="C9" s="890"/>
      <c r="E9" s="875"/>
      <c r="F9" s="896"/>
      <c r="H9" s="875"/>
      <c r="I9" s="890"/>
    </row>
    <row r="10" spans="2:9" ht="19.5" customHeight="1" x14ac:dyDescent="0.25">
      <c r="B10" s="875"/>
      <c r="C10" s="890"/>
      <c r="E10" s="875"/>
      <c r="F10" s="896"/>
      <c r="H10" s="875"/>
      <c r="I10" s="890"/>
    </row>
    <row r="11" spans="2:9" ht="19.5" customHeight="1" x14ac:dyDescent="0.25">
      <c r="B11" s="875"/>
      <c r="C11" s="890"/>
      <c r="E11" s="875"/>
      <c r="F11" s="896"/>
      <c r="H11" s="875"/>
      <c r="I11" s="890"/>
    </row>
    <row r="12" spans="2:9" ht="19.5" customHeight="1" thickBot="1" x14ac:dyDescent="0.3">
      <c r="B12" s="876"/>
      <c r="C12" s="891"/>
      <c r="E12" s="876"/>
      <c r="F12" s="897"/>
      <c r="H12" s="876"/>
      <c r="I12" s="891"/>
    </row>
    <row r="14" spans="2:9" ht="13" thickBot="1" x14ac:dyDescent="0.3"/>
    <row r="15" spans="2:9" s="185" customFormat="1" ht="16" thickBot="1" x14ac:dyDescent="0.5">
      <c r="B15" s="880" t="s">
        <v>145</v>
      </c>
      <c r="C15" s="881"/>
      <c r="D15" s="193"/>
      <c r="E15" s="880" t="s">
        <v>154</v>
      </c>
      <c r="F15" s="881"/>
      <c r="G15" s="193"/>
      <c r="H15" s="194"/>
      <c r="I15" s="194"/>
    </row>
    <row r="16" spans="2:9" ht="13" thickBot="1" x14ac:dyDescent="0.3">
      <c r="H16" s="195"/>
      <c r="I16" s="195"/>
    </row>
    <row r="17" spans="2:9" ht="19.5" customHeight="1" x14ac:dyDescent="0.25">
      <c r="B17" s="882" t="s">
        <v>70</v>
      </c>
      <c r="C17" s="894" t="str">
        <f>'VERRIJKT - 1e periode'!C17</f>
        <v>Motivatie behouden.</v>
      </c>
      <c r="E17" s="882" t="s">
        <v>70</v>
      </c>
      <c r="F17" s="894">
        <f>'VERRIJKT - 1e periode'!F17</f>
        <v>0</v>
      </c>
      <c r="H17" s="196"/>
      <c r="I17" s="187"/>
    </row>
    <row r="18" spans="2:9" ht="19.5" customHeight="1" x14ac:dyDescent="0.25">
      <c r="B18" s="875"/>
      <c r="C18" s="895"/>
      <c r="E18" s="875"/>
      <c r="F18" s="895"/>
      <c r="H18" s="196"/>
      <c r="I18" s="197"/>
    </row>
    <row r="19" spans="2:9" ht="19.5" customHeight="1" x14ac:dyDescent="0.25">
      <c r="B19" s="875" t="s">
        <v>71</v>
      </c>
      <c r="C19" s="889" t="str">
        <f>'VERRIJKT - 1e periode'!C19</f>
        <v>Compacte route spelling (lessen) voor: T, M, N, K, N
Dinsdag geen dictee JS=&gt; weektaaktijd</v>
      </c>
      <c r="E19" s="875" t="s">
        <v>71</v>
      </c>
      <c r="F19" s="889" t="str">
        <f>'VERRIJKT - 1e periode'!F19</f>
        <v>De pluskinderen: maken zowel bij lessen als bij taken alleen de opgaven met &gt;&gt; en daarna de plustaken</v>
      </c>
      <c r="H19" s="196"/>
      <c r="I19" s="198"/>
    </row>
    <row r="20" spans="2:9" ht="19.5" customHeight="1" x14ac:dyDescent="0.25">
      <c r="B20" s="875"/>
      <c r="C20" s="890"/>
      <c r="E20" s="875"/>
      <c r="F20" s="890"/>
      <c r="H20" s="196"/>
      <c r="I20" s="198"/>
    </row>
    <row r="21" spans="2:9" ht="19.5" customHeight="1" x14ac:dyDescent="0.25">
      <c r="B21" s="875"/>
      <c r="C21" s="890"/>
      <c r="E21" s="875"/>
      <c r="F21" s="890"/>
      <c r="H21" s="196"/>
      <c r="I21" s="198"/>
    </row>
    <row r="22" spans="2:9" ht="19.5" customHeight="1" x14ac:dyDescent="0.25">
      <c r="B22" s="875"/>
      <c r="C22" s="890"/>
      <c r="E22" s="875"/>
      <c r="F22" s="890"/>
      <c r="H22" s="196"/>
      <c r="I22" s="198"/>
    </row>
    <row r="23" spans="2:9" ht="19.5" customHeight="1" thickBot="1" x14ac:dyDescent="0.3">
      <c r="B23" s="876"/>
      <c r="C23" s="891"/>
      <c r="E23" s="876"/>
      <c r="F23" s="891"/>
      <c r="H23" s="196"/>
      <c r="I23" s="198"/>
    </row>
    <row r="25" spans="2:9" x14ac:dyDescent="0.25">
      <c r="H25" s="382" t="s">
        <v>255</v>
      </c>
      <c r="I25" s="383"/>
    </row>
    <row r="26" spans="2:9" x14ac:dyDescent="0.25">
      <c r="H26" s="384" t="s">
        <v>256</v>
      </c>
      <c r="I26" s="385"/>
    </row>
    <row r="27" spans="2:9" x14ac:dyDescent="0.25">
      <c r="H27" s="386" t="s">
        <v>257</v>
      </c>
      <c r="I27" s="387"/>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2:V41"/>
  <sheetViews>
    <sheetView showGridLines="0" showRowColHeaders="0" tabSelected="1" zoomScale="85" zoomScaleNormal="85" zoomScaleSheetLayoutView="100" workbookViewId="0"/>
  </sheetViews>
  <sheetFormatPr defaultRowHeight="12.5" x14ac:dyDescent="0.25"/>
  <cols>
    <col min="1" max="1" width="3.1796875" customWidth="1"/>
    <col min="2" max="2" width="4" style="7" bestFit="1" customWidth="1"/>
    <col min="3" max="3" width="25.7265625" style="6" customWidth="1"/>
    <col min="4" max="4" width="5.7265625" style="56" customWidth="1"/>
    <col min="5" max="5" width="9.7265625" style="56" bestFit="1" customWidth="1"/>
    <col min="6" max="6" width="5.7265625" style="56" customWidth="1"/>
    <col min="7" max="7" width="6.7265625" style="56" customWidth="1"/>
    <col min="8" max="8" width="9.1796875" customWidth="1"/>
    <col min="9" max="22" width="8.54296875" customWidth="1"/>
  </cols>
  <sheetData>
    <row r="2" spans="2:22" ht="21.5" x14ac:dyDescent="0.6">
      <c r="N2" s="907" t="s">
        <v>252</v>
      </c>
      <c r="O2" s="907"/>
      <c r="P2" s="907"/>
      <c r="Q2" s="907"/>
      <c r="S2" s="907" t="s">
        <v>253</v>
      </c>
      <c r="T2" s="907"/>
      <c r="U2" s="907"/>
      <c r="V2" s="907"/>
    </row>
    <row r="3" spans="2:22" ht="21" customHeight="1" x14ac:dyDescent="0.25">
      <c r="B3" s="414"/>
      <c r="C3" s="388" t="s">
        <v>5</v>
      </c>
      <c r="D3" s="250" t="s">
        <v>2</v>
      </c>
      <c r="E3" s="250" t="s">
        <v>220</v>
      </c>
      <c r="F3" s="250" t="s">
        <v>221</v>
      </c>
      <c r="G3" s="250" t="s">
        <v>222</v>
      </c>
      <c r="I3" s="908" t="s">
        <v>477</v>
      </c>
      <c r="J3" s="909"/>
      <c r="K3" s="909"/>
      <c r="L3" s="910"/>
      <c r="N3" s="378" t="s">
        <v>254</v>
      </c>
      <c r="O3" s="379" t="s">
        <v>250</v>
      </c>
      <c r="P3" s="905">
        <v>2020</v>
      </c>
      <c r="Q3" s="906"/>
      <c r="R3" s="56"/>
      <c r="S3" s="378" t="s">
        <v>251</v>
      </c>
      <c r="T3" s="379" t="s">
        <v>46</v>
      </c>
      <c r="U3" s="905">
        <v>2020</v>
      </c>
      <c r="V3" s="906"/>
    </row>
    <row r="4" spans="2:22" ht="32.25" hidden="1" customHeight="1" x14ac:dyDescent="0.8">
      <c r="B4" s="414"/>
      <c r="C4" s="510"/>
      <c r="D4" s="511"/>
      <c r="E4" s="354">
        <v>41362</v>
      </c>
      <c r="F4" s="51">
        <f ca="1">IF($E4="","",IF($E4&gt;0,DATEDIF($E4,TODAY(),"y")))</f>
        <v>7</v>
      </c>
      <c r="G4" s="51">
        <f ca="1">IF($E4="","",IF($E4&gt;0,DATEDIF($E4,TODAY(),"ym")))</f>
        <v>11</v>
      </c>
      <c r="H4" s="173"/>
      <c r="I4" s="173"/>
      <c r="J4" s="173"/>
      <c r="K4" s="173"/>
      <c r="L4" s="173"/>
      <c r="N4" s="1"/>
    </row>
    <row r="5" spans="2:22" x14ac:dyDescent="0.25">
      <c r="B5" s="415">
        <v>1</v>
      </c>
      <c r="C5" s="380" t="s">
        <v>434</v>
      </c>
      <c r="D5" s="554"/>
      <c r="E5" s="509"/>
      <c r="F5" s="51" t="str">
        <f ca="1">IF($E5="","",IF($E5&gt;0,DATEDIF($E5,TODAY(),"y")))</f>
        <v/>
      </c>
      <c r="G5" s="51" t="str">
        <f ca="1">IF($E5="","",IF($E5&gt;0,DATEDIF($E5,TODAY(),"ym")))</f>
        <v/>
      </c>
    </row>
    <row r="6" spans="2:22" x14ac:dyDescent="0.25">
      <c r="B6" s="415">
        <v>2</v>
      </c>
      <c r="C6" s="380" t="s">
        <v>435</v>
      </c>
      <c r="D6" s="554"/>
      <c r="E6" s="509"/>
      <c r="F6" s="51" t="str">
        <f t="shared" ref="F6:F40" ca="1" si="0">IF($E6="","",IF($E6&gt;0,DATEDIF($E6,TODAY(),"y")))</f>
        <v/>
      </c>
      <c r="G6" s="51" t="str">
        <f t="shared" ref="G6:G40" ca="1" si="1">IF($E6="","",IF($E6&gt;0,DATEDIF($E6,TODAY(),"ym")))</f>
        <v/>
      </c>
    </row>
    <row r="7" spans="2:22" ht="12.75" customHeight="1" x14ac:dyDescent="0.6">
      <c r="B7" s="415">
        <v>3</v>
      </c>
      <c r="C7" s="380" t="s">
        <v>436</v>
      </c>
      <c r="D7" s="554"/>
      <c r="E7" s="509"/>
      <c r="F7" s="51" t="str">
        <f t="shared" ca="1" si="0"/>
        <v/>
      </c>
      <c r="G7" s="51" t="str">
        <f t="shared" ca="1" si="1"/>
        <v/>
      </c>
      <c r="H7" s="245"/>
      <c r="I7" s="57"/>
    </row>
    <row r="8" spans="2:22" ht="12.75" customHeight="1" x14ac:dyDescent="0.25">
      <c r="B8" s="415">
        <v>4</v>
      </c>
      <c r="C8" s="380" t="s">
        <v>437</v>
      </c>
      <c r="D8" s="554"/>
      <c r="E8" s="509"/>
      <c r="F8" s="51" t="str">
        <f t="shared" ca="1" si="0"/>
        <v/>
      </c>
      <c r="G8" s="51" t="str">
        <f t="shared" ca="1" si="1"/>
        <v/>
      </c>
      <c r="H8" s="174"/>
      <c r="I8" s="174"/>
      <c r="J8" s="174"/>
      <c r="K8" s="174"/>
      <c r="L8" s="174"/>
    </row>
    <row r="9" spans="2:22" ht="12.75" customHeight="1" x14ac:dyDescent="0.25">
      <c r="B9" s="415">
        <v>5</v>
      </c>
      <c r="C9" s="380" t="s">
        <v>438</v>
      </c>
      <c r="D9" s="554"/>
      <c r="E9" s="509"/>
      <c r="F9" s="51" t="str">
        <f t="shared" ca="1" si="0"/>
        <v/>
      </c>
      <c r="G9" s="51" t="str">
        <f t="shared" ca="1" si="1"/>
        <v/>
      </c>
      <c r="H9" s="174"/>
      <c r="I9" s="174"/>
      <c r="J9" s="174"/>
      <c r="K9" s="174"/>
      <c r="L9" s="174"/>
    </row>
    <row r="10" spans="2:22" ht="12.75" customHeight="1" x14ac:dyDescent="0.25">
      <c r="B10" s="415">
        <v>6</v>
      </c>
      <c r="C10" s="380" t="s">
        <v>439</v>
      </c>
      <c r="D10" s="554"/>
      <c r="E10" s="509"/>
      <c r="F10" s="51" t="str">
        <f t="shared" ca="1" si="0"/>
        <v/>
      </c>
      <c r="G10" s="51" t="str">
        <f t="shared" ca="1" si="1"/>
        <v/>
      </c>
      <c r="H10" s="174"/>
      <c r="I10" s="174"/>
      <c r="J10" s="174"/>
      <c r="K10" s="174"/>
      <c r="L10" s="174"/>
    </row>
    <row r="11" spans="2:22" ht="12.75" customHeight="1" x14ac:dyDescent="0.25">
      <c r="B11" s="415">
        <v>7</v>
      </c>
      <c r="C11" s="380" t="s">
        <v>440</v>
      </c>
      <c r="D11" s="554"/>
      <c r="E11" s="555"/>
      <c r="F11" s="51" t="str">
        <f t="shared" ca="1" si="0"/>
        <v/>
      </c>
      <c r="G11" s="51" t="str">
        <f t="shared" ca="1" si="1"/>
        <v/>
      </c>
      <c r="H11" s="174"/>
      <c r="I11" s="174"/>
      <c r="J11" s="174"/>
      <c r="K11" s="174"/>
      <c r="L11" s="174"/>
    </row>
    <row r="12" spans="2:22" x14ac:dyDescent="0.25">
      <c r="B12" s="415">
        <v>8</v>
      </c>
      <c r="C12" s="380" t="s">
        <v>441</v>
      </c>
      <c r="D12" s="554"/>
      <c r="E12" s="509"/>
      <c r="F12" s="51" t="str">
        <f t="shared" ca="1" si="0"/>
        <v/>
      </c>
      <c r="G12" s="51" t="str">
        <f t="shared" ca="1" si="1"/>
        <v/>
      </c>
    </row>
    <row r="13" spans="2:22" x14ac:dyDescent="0.25">
      <c r="B13" s="415">
        <v>9</v>
      </c>
      <c r="C13" s="380" t="s">
        <v>442</v>
      </c>
      <c r="D13" s="554"/>
      <c r="E13" s="509"/>
      <c r="F13" s="51" t="str">
        <f t="shared" ca="1" si="0"/>
        <v/>
      </c>
      <c r="G13" s="51" t="str">
        <f t="shared" ca="1" si="1"/>
        <v/>
      </c>
    </row>
    <row r="14" spans="2:22" x14ac:dyDescent="0.25">
      <c r="B14" s="415">
        <v>10</v>
      </c>
      <c r="C14" s="380" t="s">
        <v>443</v>
      </c>
      <c r="D14" s="554"/>
      <c r="E14" s="509"/>
      <c r="F14" s="51" t="str">
        <f t="shared" ca="1" si="0"/>
        <v/>
      </c>
      <c r="G14" s="51" t="str">
        <f t="shared" ca="1" si="1"/>
        <v/>
      </c>
    </row>
    <row r="15" spans="2:22" x14ac:dyDescent="0.25">
      <c r="B15" s="415">
        <v>11</v>
      </c>
      <c r="C15" s="380" t="s">
        <v>444</v>
      </c>
      <c r="D15" s="554"/>
      <c r="E15" s="509"/>
      <c r="F15" s="51" t="str">
        <f t="shared" ca="1" si="0"/>
        <v/>
      </c>
      <c r="G15" s="51" t="str">
        <f t="shared" ca="1" si="1"/>
        <v/>
      </c>
    </row>
    <row r="16" spans="2:22" x14ac:dyDescent="0.25">
      <c r="B16" s="415">
        <v>12</v>
      </c>
      <c r="C16" s="380" t="s">
        <v>445</v>
      </c>
      <c r="D16" s="554"/>
      <c r="E16" s="509"/>
      <c r="F16" s="51" t="str">
        <f t="shared" ca="1" si="0"/>
        <v/>
      </c>
      <c r="G16" s="51" t="str">
        <f t="shared" ca="1" si="1"/>
        <v/>
      </c>
    </row>
    <row r="17" spans="2:7" x14ac:dyDescent="0.25">
      <c r="B17" s="415">
        <v>13</v>
      </c>
      <c r="C17" s="380" t="s">
        <v>446</v>
      </c>
      <c r="D17" s="554"/>
      <c r="E17" s="509"/>
      <c r="F17" s="51" t="str">
        <f t="shared" ca="1" si="0"/>
        <v/>
      </c>
      <c r="G17" s="51" t="str">
        <f t="shared" ca="1" si="1"/>
        <v/>
      </c>
    </row>
    <row r="18" spans="2:7" x14ac:dyDescent="0.25">
      <c r="B18" s="415">
        <v>14</v>
      </c>
      <c r="C18" s="380" t="s">
        <v>447</v>
      </c>
      <c r="D18" s="554"/>
      <c r="E18" s="509"/>
      <c r="F18" s="51" t="str">
        <f t="shared" ca="1" si="0"/>
        <v/>
      </c>
      <c r="G18" s="51" t="str">
        <f t="shared" ca="1" si="1"/>
        <v/>
      </c>
    </row>
    <row r="19" spans="2:7" x14ac:dyDescent="0.25">
      <c r="B19" s="415">
        <v>15</v>
      </c>
      <c r="C19" s="380" t="s">
        <v>448</v>
      </c>
      <c r="D19" s="554"/>
      <c r="E19" s="509"/>
      <c r="F19" s="51" t="str">
        <f t="shared" ca="1" si="0"/>
        <v/>
      </c>
      <c r="G19" s="51" t="str">
        <f t="shared" ca="1" si="1"/>
        <v/>
      </c>
    </row>
    <row r="20" spans="2:7" x14ac:dyDescent="0.25">
      <c r="B20" s="415">
        <v>16</v>
      </c>
      <c r="C20" s="380" t="s">
        <v>449</v>
      </c>
      <c r="D20" s="554"/>
      <c r="E20" s="509"/>
      <c r="F20" s="51" t="str">
        <f t="shared" ca="1" si="0"/>
        <v/>
      </c>
      <c r="G20" s="51" t="str">
        <f t="shared" ca="1" si="1"/>
        <v/>
      </c>
    </row>
    <row r="21" spans="2:7" x14ac:dyDescent="0.25">
      <c r="B21" s="415">
        <v>17</v>
      </c>
      <c r="C21" s="380" t="s">
        <v>450</v>
      </c>
      <c r="D21" s="554"/>
      <c r="E21" s="509"/>
      <c r="F21" s="51" t="str">
        <f t="shared" ca="1" si="0"/>
        <v/>
      </c>
      <c r="G21" s="51" t="str">
        <f t="shared" ca="1" si="1"/>
        <v/>
      </c>
    </row>
    <row r="22" spans="2:7" x14ac:dyDescent="0.25">
      <c r="B22" s="415">
        <v>18</v>
      </c>
      <c r="C22" s="380" t="s">
        <v>451</v>
      </c>
      <c r="D22" s="554"/>
      <c r="E22" s="509"/>
      <c r="F22" s="51" t="str">
        <f t="shared" ca="1" si="0"/>
        <v/>
      </c>
      <c r="G22" s="51" t="str">
        <f t="shared" ca="1" si="1"/>
        <v/>
      </c>
    </row>
    <row r="23" spans="2:7" x14ac:dyDescent="0.25">
      <c r="B23" s="415">
        <v>19</v>
      </c>
      <c r="C23" s="380" t="s">
        <v>452</v>
      </c>
      <c r="D23" s="554"/>
      <c r="E23" s="509"/>
      <c r="F23" s="51" t="str">
        <f t="shared" ca="1" si="0"/>
        <v/>
      </c>
      <c r="G23" s="51" t="str">
        <f t="shared" ca="1" si="1"/>
        <v/>
      </c>
    </row>
    <row r="24" spans="2:7" x14ac:dyDescent="0.25">
      <c r="B24" s="415">
        <v>20</v>
      </c>
      <c r="C24" s="380" t="s">
        <v>453</v>
      </c>
      <c r="D24" s="554"/>
      <c r="E24" s="509"/>
      <c r="F24" s="51" t="str">
        <f t="shared" ca="1" si="0"/>
        <v/>
      </c>
      <c r="G24" s="51" t="str">
        <f t="shared" ca="1" si="1"/>
        <v/>
      </c>
    </row>
    <row r="25" spans="2:7" x14ac:dyDescent="0.25">
      <c r="B25" s="415">
        <v>21</v>
      </c>
      <c r="C25" s="380" t="s">
        <v>454</v>
      </c>
      <c r="D25" s="554"/>
      <c r="E25" s="509"/>
      <c r="F25" s="51" t="str">
        <f t="shared" ca="1" si="0"/>
        <v/>
      </c>
      <c r="G25" s="51" t="str">
        <f t="shared" ca="1" si="1"/>
        <v/>
      </c>
    </row>
    <row r="26" spans="2:7" x14ac:dyDescent="0.25">
      <c r="B26" s="415">
        <v>22</v>
      </c>
      <c r="C26" s="380" t="s">
        <v>455</v>
      </c>
      <c r="D26" s="554"/>
      <c r="E26" s="509"/>
      <c r="F26" s="51" t="str">
        <f t="shared" ca="1" si="0"/>
        <v/>
      </c>
      <c r="G26" s="51" t="str">
        <f t="shared" ca="1" si="1"/>
        <v/>
      </c>
    </row>
    <row r="27" spans="2:7" x14ac:dyDescent="0.25">
      <c r="B27" s="415">
        <v>23</v>
      </c>
      <c r="C27" s="380" t="s">
        <v>456</v>
      </c>
      <c r="D27" s="554"/>
      <c r="E27" s="509"/>
      <c r="F27" s="51" t="str">
        <f t="shared" ca="1" si="0"/>
        <v/>
      </c>
      <c r="G27" s="51" t="str">
        <f t="shared" ca="1" si="1"/>
        <v/>
      </c>
    </row>
    <row r="28" spans="2:7" x14ac:dyDescent="0.25">
      <c r="B28" s="415">
        <v>24</v>
      </c>
      <c r="C28" s="380" t="s">
        <v>457</v>
      </c>
      <c r="D28" s="554"/>
      <c r="E28" s="509"/>
      <c r="F28" s="51" t="str">
        <f t="shared" ca="1" si="0"/>
        <v/>
      </c>
      <c r="G28" s="51" t="str">
        <f t="shared" ca="1" si="1"/>
        <v/>
      </c>
    </row>
    <row r="29" spans="2:7" x14ac:dyDescent="0.25">
      <c r="B29" s="415">
        <v>25</v>
      </c>
      <c r="C29" s="380" t="s">
        <v>458</v>
      </c>
      <c r="D29" s="554"/>
      <c r="E29" s="509"/>
      <c r="F29" s="51" t="str">
        <f t="shared" ca="1" si="0"/>
        <v/>
      </c>
      <c r="G29" s="51" t="str">
        <f t="shared" ca="1" si="1"/>
        <v/>
      </c>
    </row>
    <row r="30" spans="2:7" x14ac:dyDescent="0.25">
      <c r="B30" s="415">
        <v>26</v>
      </c>
      <c r="C30" s="380" t="s">
        <v>459</v>
      </c>
      <c r="D30" s="554"/>
      <c r="E30" s="509"/>
      <c r="F30" s="51" t="str">
        <f t="shared" ca="1" si="0"/>
        <v/>
      </c>
      <c r="G30" s="51" t="str">
        <f t="shared" ca="1" si="1"/>
        <v/>
      </c>
    </row>
    <row r="31" spans="2:7" x14ac:dyDescent="0.25">
      <c r="B31" s="415">
        <v>27</v>
      </c>
      <c r="C31" s="380"/>
      <c r="D31" s="381"/>
      <c r="E31" s="509"/>
      <c r="F31" s="51" t="str">
        <f t="shared" ca="1" si="0"/>
        <v/>
      </c>
      <c r="G31" s="51" t="str">
        <f t="shared" ca="1" si="1"/>
        <v/>
      </c>
    </row>
    <row r="32" spans="2:7" x14ac:dyDescent="0.25">
      <c r="B32" s="415">
        <v>28</v>
      </c>
      <c r="C32" s="380"/>
      <c r="D32" s="381"/>
      <c r="E32" s="509"/>
      <c r="F32" s="51" t="str">
        <f t="shared" ca="1" si="0"/>
        <v/>
      </c>
      <c r="G32" s="51" t="str">
        <f t="shared" ca="1" si="1"/>
        <v/>
      </c>
    </row>
    <row r="33" spans="2:9" x14ac:dyDescent="0.25">
      <c r="B33" s="415">
        <v>29</v>
      </c>
      <c r="C33" s="380"/>
      <c r="D33" s="381"/>
      <c r="E33" s="509"/>
      <c r="F33" s="51" t="str">
        <f t="shared" ca="1" si="0"/>
        <v/>
      </c>
      <c r="G33" s="51" t="str">
        <f t="shared" ca="1" si="1"/>
        <v/>
      </c>
    </row>
    <row r="34" spans="2:9" x14ac:dyDescent="0.25">
      <c r="B34" s="415">
        <v>30</v>
      </c>
      <c r="C34" s="380"/>
      <c r="D34" s="381"/>
      <c r="E34" s="509"/>
      <c r="F34" s="51" t="str">
        <f t="shared" ca="1" si="0"/>
        <v/>
      </c>
      <c r="G34" s="51" t="str">
        <f t="shared" ca="1" si="1"/>
        <v/>
      </c>
    </row>
    <row r="35" spans="2:9" ht="13" x14ac:dyDescent="0.3">
      <c r="B35" s="415">
        <v>31</v>
      </c>
      <c r="C35" s="380"/>
      <c r="D35" s="381"/>
      <c r="E35" s="509"/>
      <c r="F35" s="51" t="str">
        <f t="shared" ca="1" si="0"/>
        <v/>
      </c>
      <c r="G35" s="51" t="str">
        <f t="shared" ca="1" si="1"/>
        <v/>
      </c>
      <c r="I35" s="432" t="s">
        <v>265</v>
      </c>
    </row>
    <row r="36" spans="2:9" x14ac:dyDescent="0.25">
      <c r="B36" s="415">
        <v>32</v>
      </c>
      <c r="C36" s="380"/>
      <c r="D36" s="381"/>
      <c r="E36" s="509"/>
      <c r="F36" s="51" t="str">
        <f t="shared" ca="1" si="0"/>
        <v/>
      </c>
      <c r="G36" s="51" t="str">
        <f t="shared" ca="1" si="1"/>
        <v/>
      </c>
    </row>
    <row r="37" spans="2:9" x14ac:dyDescent="0.25">
      <c r="B37" s="415">
        <v>33</v>
      </c>
      <c r="C37" s="380"/>
      <c r="D37" s="381"/>
      <c r="E37" s="509"/>
      <c r="F37" s="51" t="str">
        <f t="shared" ca="1" si="0"/>
        <v/>
      </c>
      <c r="G37" s="51" t="str">
        <f t="shared" ca="1" si="1"/>
        <v/>
      </c>
      <c r="I37" s="431" t="s">
        <v>267</v>
      </c>
    </row>
    <row r="38" spans="2:9" x14ac:dyDescent="0.25">
      <c r="B38" s="415">
        <v>34</v>
      </c>
      <c r="C38" s="380"/>
      <c r="D38" s="381"/>
      <c r="E38" s="509"/>
      <c r="F38" s="51" t="str">
        <f t="shared" ca="1" si="0"/>
        <v/>
      </c>
      <c r="G38" s="51" t="str">
        <f t="shared" ca="1" si="1"/>
        <v/>
      </c>
      <c r="I38" s="431" t="s">
        <v>268</v>
      </c>
    </row>
    <row r="39" spans="2:9" x14ac:dyDescent="0.25">
      <c r="B39" s="415">
        <v>35</v>
      </c>
      <c r="C39" s="380"/>
      <c r="D39" s="381"/>
      <c r="E39" s="509"/>
      <c r="F39" s="51" t="str">
        <f t="shared" ca="1" si="0"/>
        <v/>
      </c>
      <c r="G39" s="51" t="str">
        <f t="shared" ca="1" si="1"/>
        <v/>
      </c>
      <c r="I39" s="431" t="s">
        <v>266</v>
      </c>
    </row>
    <row r="40" spans="2:9" x14ac:dyDescent="0.25">
      <c r="B40" s="48">
        <v>36</v>
      </c>
      <c r="C40" s="380"/>
      <c r="D40" s="381"/>
      <c r="E40" s="509"/>
      <c r="F40" s="51" t="str">
        <f t="shared" ca="1" si="0"/>
        <v/>
      </c>
      <c r="G40" s="51" t="str">
        <f t="shared" ca="1" si="1"/>
        <v/>
      </c>
    </row>
    <row r="41" spans="2:9" x14ac:dyDescent="0.25">
      <c r="C41" s="71" t="s">
        <v>60</v>
      </c>
      <c r="D41" s="70">
        <f>COUNTA(C5:C40)</f>
        <v>26</v>
      </c>
      <c r="E41" s="70"/>
      <c r="F41" s="70"/>
      <c r="G41" s="70"/>
    </row>
  </sheetData>
  <sheetProtection sheet="1" objects="1" scenarios="1"/>
  <mergeCells count="5">
    <mergeCell ref="P3:Q3"/>
    <mergeCell ref="U3:V3"/>
    <mergeCell ref="N2:Q2"/>
    <mergeCell ref="S2:V2"/>
    <mergeCell ref="I3:L3"/>
  </mergeCells>
  <phoneticPr fontId="7" type="noConversion"/>
  <conditionalFormatting sqref="C31:C40">
    <cfRule type="expression" priority="136" stopIfTrue="1">
      <formula>$L31=""</formula>
    </cfRule>
    <cfRule type="expression" dxfId="759" priority="137" stopIfTrue="1">
      <formula>$L31&gt;9</formula>
    </cfRule>
    <cfRule type="expression" dxfId="758" priority="138" stopIfTrue="1">
      <formula>$L31&lt;0</formula>
    </cfRule>
  </conditionalFormatting>
  <conditionalFormatting sqref="C5:C30">
    <cfRule type="expression" priority="4" stopIfTrue="1">
      <formula>$L5=""</formula>
    </cfRule>
    <cfRule type="expression" dxfId="757" priority="5" stopIfTrue="1">
      <formula>$L5&gt;9</formula>
    </cfRule>
    <cfRule type="expression" dxfId="756" priority="6" stopIfTrue="1">
      <formula>$L5&lt;0</formula>
    </cfRule>
  </conditionalFormatting>
  <dataValidations count="5">
    <dataValidation type="list" allowBlank="1" showInputMessage="1" showErrorMessage="1" sqref="P3:Q3 U3:V3" xr:uid="{00000000-0002-0000-1F00-000000000000}">
      <formula1>"2018,2019,2020,2021,2022,2023,2024,2025,2026,2027,2028,2029,2030,"</formula1>
    </dataValidation>
    <dataValidation type="list" allowBlank="1" showInputMessage="1" showErrorMessage="1" sqref="O3 T3" xr:uid="{00000000-0002-0000-1F00-000001000000}">
      <formula1>"jan.,feb.,mrt.,apr.,mei.,jun.,jul.,aug.,sep.,okt.,nov.,dec.,"</formula1>
    </dataValidation>
    <dataValidation type="list" allowBlank="1" showInputMessage="1" showErrorMessage="1" sqref="H4:L4" xr:uid="{00000000-0002-0000-1F00-000002000000}">
      <formula1>"groep 4,groep 5,groep 6,groep 7,groep 8,"</formula1>
    </dataValidation>
    <dataValidation type="list" allowBlank="1" showInputMessage="1" showErrorMessage="1" sqref="N3 S3" xr:uid="{00000000-0002-0000-1F00-000003000000}">
      <formula1>"januari.,feb.,mrt.,apr.,mei.,jun.,jul.,aug.,sep.,okt.,nov.,dec.,"</formula1>
    </dataValidation>
    <dataValidation type="list" allowBlank="1" showInputMessage="1" showErrorMessage="1" sqref="I3:L3" xr:uid="{00000000-0002-0000-1F00-000004000000}">
      <formula1>"groep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6" orientation="landscape" r:id="rId1"/>
  <headerFooter alignWithMargins="0">
    <oddFooter>&amp;R© www.meesterharrie.nl</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K189"/>
  <sheetViews>
    <sheetView showGridLines="0" showRowColHeaders="0" zoomScale="71" zoomScaleNormal="71" workbookViewId="0">
      <pane xSplit="6" topLeftCell="G1" activePane="topRight" state="frozen"/>
      <selection pane="topRight" activeCell="AO27" sqref="AO27"/>
    </sheetView>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390" customWidth="1"/>
    <col min="5" max="5" width="5.7265625" style="88" customWidth="1"/>
    <col min="6" max="6" width="20.7265625" style="88" customWidth="1"/>
    <col min="7" max="7" width="3.54296875" style="90" customWidth="1"/>
    <col min="8" max="8" width="5.7265625" style="90" customWidth="1"/>
    <col min="9" max="9" width="3.1796875" style="90" customWidth="1"/>
    <col min="10" max="10" width="5.7265625" style="88" customWidth="1"/>
    <col min="11" max="11" width="5.7265625" style="83" customWidth="1"/>
    <col min="12" max="12" width="6.54296875" style="83" customWidth="1"/>
    <col min="13" max="13" width="3.1796875" style="83" customWidth="1"/>
    <col min="14" max="22" width="5.7265625" style="83" customWidth="1"/>
    <col min="23" max="23" width="3.54296875" style="83" customWidth="1"/>
    <col min="24" max="24" width="10.26953125" style="83" customWidth="1"/>
    <col min="25" max="26" width="6.7265625" style="83" hidden="1" customWidth="1"/>
    <col min="27" max="27" width="3.1796875" style="83" customWidth="1"/>
    <col min="28" max="29" width="5.7265625" style="83" customWidth="1"/>
    <col min="30" max="30" width="3.1796875" style="83" customWidth="1"/>
    <col min="31" max="32" width="5.7265625" style="83" customWidth="1"/>
    <col min="33" max="33" width="3.1796875" style="83" customWidth="1"/>
    <col min="34" max="37" width="5.7265625" style="83" customWidth="1"/>
    <col min="38" max="16384" width="9.1796875" style="83"/>
  </cols>
  <sheetData>
    <row r="1" spans="1:37" s="79" customFormat="1" ht="30" customHeight="1" thickBot="1" x14ac:dyDescent="0.4">
      <c r="B1" s="434"/>
      <c r="C1" s="937" t="s">
        <v>263</v>
      </c>
      <c r="D1" s="938"/>
      <c r="E1" s="938"/>
      <c r="F1" s="938"/>
      <c r="G1" s="418"/>
      <c r="H1" s="418"/>
      <c r="I1" s="418"/>
      <c r="J1" s="418"/>
      <c r="K1" s="418" t="str">
        <f>BEGINBLAD!$I$3</f>
        <v>groep 7</v>
      </c>
      <c r="L1" s="417"/>
      <c r="M1" s="418"/>
      <c r="N1" s="418"/>
      <c r="O1" s="418"/>
      <c r="P1" s="416"/>
      <c r="Q1" s="416"/>
      <c r="R1" s="416"/>
      <c r="S1" s="416"/>
      <c r="T1" s="416"/>
      <c r="U1" s="416"/>
      <c r="V1" s="416"/>
      <c r="W1" s="416"/>
      <c r="X1" s="419"/>
    </row>
    <row r="2" spans="1:37" s="79" customFormat="1" ht="30" customHeight="1" x14ac:dyDescent="0.35">
      <c r="B2" s="523"/>
      <c r="C2" s="953" t="str">
        <f>BEGINBLAD!$N$3</f>
        <v>nov.</v>
      </c>
      <c r="D2" s="953"/>
      <c r="E2" s="242"/>
      <c r="F2" s="436" t="str">
        <f>BEGINBLAD!$O$3</f>
        <v>apr.</v>
      </c>
      <c r="G2" s="954">
        <f>BEGINBLAD!$P$3</f>
        <v>2020</v>
      </c>
      <c r="H2" s="954"/>
      <c r="I2" s="954"/>
      <c r="J2" s="549"/>
      <c r="K2" s="242"/>
      <c r="L2" s="550"/>
      <c r="M2" s="242"/>
      <c r="N2" s="242"/>
      <c r="O2" s="242"/>
      <c r="P2" s="551"/>
      <c r="Q2" s="551"/>
      <c r="R2" s="551"/>
      <c r="S2" s="551"/>
      <c r="T2" s="551"/>
      <c r="U2" s="551"/>
      <c r="V2" s="551"/>
      <c r="W2" s="551"/>
      <c r="X2" s="242"/>
    </row>
    <row r="3" spans="1:37" ht="13.5" customHeight="1" thickBot="1" x14ac:dyDescent="0.3">
      <c r="C3" s="83"/>
      <c r="D3" s="83"/>
      <c r="E3" s="83"/>
      <c r="F3" s="83"/>
      <c r="G3" s="83"/>
      <c r="H3" s="83"/>
      <c r="I3" s="83"/>
      <c r="J3" s="90"/>
      <c r="K3" s="90"/>
      <c r="M3" s="85"/>
      <c r="N3" s="86"/>
      <c r="O3" s="86"/>
      <c r="R3" s="87"/>
      <c r="S3" s="87"/>
      <c r="T3" s="87"/>
      <c r="U3" s="87"/>
      <c r="V3" s="87"/>
      <c r="W3" s="87"/>
      <c r="X3" s="88"/>
      <c r="Y3" s="87"/>
      <c r="Z3" s="87"/>
      <c r="AA3" s="87"/>
    </row>
    <row r="4" spans="1:37" ht="13.5" customHeight="1" x14ac:dyDescent="0.25">
      <c r="C4" s="524"/>
      <c r="D4" s="524"/>
      <c r="E4" s="916"/>
      <c r="F4" s="914" t="s">
        <v>5</v>
      </c>
      <c r="G4" s="949"/>
      <c r="H4" s="949"/>
      <c r="I4" s="949"/>
      <c r="J4" s="949"/>
      <c r="K4" s="949"/>
      <c r="L4" s="949"/>
      <c r="M4" s="949"/>
      <c r="N4" s="949"/>
      <c r="O4" s="949"/>
      <c r="P4" s="949"/>
      <c r="Q4" s="949"/>
      <c r="R4" s="949"/>
      <c r="S4" s="949"/>
      <c r="T4" s="949"/>
      <c r="U4" s="949"/>
      <c r="V4" s="950"/>
      <c r="W4" s="87"/>
      <c r="X4" s="946" t="s">
        <v>270</v>
      </c>
      <c r="Y4" s="87"/>
      <c r="Z4" s="87"/>
      <c r="AA4" s="87"/>
      <c r="AB4" s="942" t="s">
        <v>321</v>
      </c>
      <c r="AC4" s="943"/>
      <c r="AE4" s="942" t="s">
        <v>323</v>
      </c>
      <c r="AF4" s="943"/>
      <c r="AH4" s="544" t="s">
        <v>330</v>
      </c>
      <c r="AI4" s="545"/>
      <c r="AJ4" s="545"/>
      <c r="AK4" s="546"/>
    </row>
    <row r="5" spans="1:37" ht="13.5" customHeight="1" thickBot="1" x14ac:dyDescent="0.3">
      <c r="E5" s="917"/>
      <c r="F5" s="915"/>
      <c r="G5" s="951"/>
      <c r="H5" s="951"/>
      <c r="I5" s="951"/>
      <c r="J5" s="951"/>
      <c r="K5" s="951"/>
      <c r="L5" s="951"/>
      <c r="M5" s="951"/>
      <c r="N5" s="951"/>
      <c r="O5" s="951"/>
      <c r="P5" s="951"/>
      <c r="Q5" s="951"/>
      <c r="R5" s="951"/>
      <c r="S5" s="951"/>
      <c r="T5" s="951"/>
      <c r="U5" s="951"/>
      <c r="V5" s="952"/>
      <c r="W5" s="389"/>
      <c r="X5" s="947"/>
      <c r="AB5" s="944"/>
      <c r="AC5" s="945"/>
      <c r="AE5" s="944"/>
      <c r="AF5" s="945"/>
      <c r="AH5" s="939" t="s">
        <v>322</v>
      </c>
      <c r="AI5" s="940"/>
      <c r="AJ5" s="940"/>
      <c r="AK5" s="941"/>
    </row>
    <row r="6" spans="1:37" ht="140.15" customHeight="1" x14ac:dyDescent="0.25">
      <c r="C6" s="92"/>
      <c r="D6" s="93"/>
      <c r="E6" s="917"/>
      <c r="F6" s="915"/>
      <c r="G6" s="951"/>
      <c r="H6" s="951"/>
      <c r="I6" s="951"/>
      <c r="J6" s="951"/>
      <c r="K6" s="951"/>
      <c r="L6" s="951"/>
      <c r="M6" s="951"/>
      <c r="N6" s="951"/>
      <c r="O6" s="951"/>
      <c r="P6" s="951"/>
      <c r="Q6" s="951"/>
      <c r="R6" s="951"/>
      <c r="S6" s="951"/>
      <c r="T6" s="951"/>
      <c r="U6" s="951"/>
      <c r="V6" s="952"/>
      <c r="W6" s="391"/>
      <c r="X6" s="948"/>
      <c r="AB6" s="547" t="s">
        <v>324</v>
      </c>
      <c r="AC6" s="548" t="s">
        <v>325</v>
      </c>
      <c r="AE6" s="538" t="s">
        <v>319</v>
      </c>
      <c r="AF6" s="539" t="s">
        <v>320</v>
      </c>
      <c r="AH6" s="534" t="s">
        <v>326</v>
      </c>
      <c r="AI6" s="535" t="s">
        <v>327</v>
      </c>
      <c r="AJ6" s="536" t="s">
        <v>328</v>
      </c>
      <c r="AK6" s="537" t="s">
        <v>329</v>
      </c>
    </row>
    <row r="7" spans="1:37" ht="19.5" customHeight="1" x14ac:dyDescent="0.25">
      <c r="A7" s="103"/>
      <c r="B7" s="913" t="s">
        <v>2</v>
      </c>
      <c r="C7" s="104" t="s">
        <v>68</v>
      </c>
      <c r="D7" s="105">
        <f>[1]BEGINBLAD!D6</f>
        <v>8</v>
      </c>
      <c r="E7" s="420">
        <v>1</v>
      </c>
      <c r="F7" s="421" t="str">
        <f>BEGINBLAD!C5</f>
        <v>leerling 1</v>
      </c>
      <c r="G7" s="911" t="s">
        <v>344</v>
      </c>
      <c r="H7" s="911"/>
      <c r="I7" s="911"/>
      <c r="J7" s="911"/>
      <c r="K7" s="911"/>
      <c r="L7" s="911"/>
      <c r="M7" s="911"/>
      <c r="N7" s="911"/>
      <c r="O7" s="911"/>
      <c r="P7" s="911"/>
      <c r="Q7" s="911"/>
      <c r="R7" s="911"/>
      <c r="S7" s="911"/>
      <c r="T7" s="911"/>
      <c r="U7" s="911"/>
      <c r="V7" s="912"/>
      <c r="W7" s="389"/>
      <c r="X7" s="533"/>
      <c r="Z7" s="438" t="b">
        <v>0</v>
      </c>
      <c r="AB7" s="540"/>
      <c r="AC7" s="541"/>
      <c r="AE7" s="540"/>
      <c r="AF7" s="541"/>
      <c r="AH7" s="251"/>
      <c r="AI7" s="252"/>
      <c r="AJ7" s="252"/>
      <c r="AK7" s="253"/>
    </row>
    <row r="8" spans="1:37" ht="19.5" customHeight="1" x14ac:dyDescent="0.25">
      <c r="A8" s="103"/>
      <c r="B8" s="913"/>
      <c r="C8" s="114" t="s">
        <v>69</v>
      </c>
      <c r="D8" s="105">
        <f>[1]BEGINBLAD!D7</f>
        <v>8</v>
      </c>
      <c r="E8" s="106">
        <v>2</v>
      </c>
      <c r="F8" s="421" t="str">
        <f>BEGINBLAD!C6</f>
        <v>leerling 2</v>
      </c>
      <c r="G8" s="911" t="s">
        <v>345</v>
      </c>
      <c r="H8" s="911"/>
      <c r="I8" s="911"/>
      <c r="J8" s="911"/>
      <c r="K8" s="911"/>
      <c r="L8" s="911"/>
      <c r="M8" s="911"/>
      <c r="N8" s="911"/>
      <c r="O8" s="911"/>
      <c r="P8" s="911"/>
      <c r="Q8" s="911"/>
      <c r="R8" s="911"/>
      <c r="S8" s="911"/>
      <c r="T8" s="911"/>
      <c r="U8" s="911"/>
      <c r="V8" s="912"/>
      <c r="W8" s="392"/>
      <c r="X8" s="423"/>
      <c r="Z8" s="438" t="b">
        <v>1</v>
      </c>
      <c r="AB8" s="540"/>
      <c r="AC8" s="541" t="s">
        <v>285</v>
      </c>
      <c r="AE8" s="540"/>
      <c r="AF8" s="541"/>
      <c r="AH8" s="251"/>
      <c r="AI8" s="252"/>
      <c r="AJ8" s="252"/>
      <c r="AK8" s="253"/>
    </row>
    <row r="9" spans="1:37" ht="19.5" customHeight="1" x14ac:dyDescent="0.25">
      <c r="A9" s="115"/>
      <c r="B9" s="116"/>
      <c r="C9" s="435"/>
      <c r="D9" s="105">
        <f>[1]BEGINBLAD!D8</f>
        <v>8</v>
      </c>
      <c r="E9" s="106">
        <v>3</v>
      </c>
      <c r="F9" s="421" t="str">
        <f>BEGINBLAD!C7</f>
        <v>leerling 3</v>
      </c>
      <c r="G9" s="911" t="s">
        <v>346</v>
      </c>
      <c r="H9" s="911"/>
      <c r="I9" s="911"/>
      <c r="J9" s="911"/>
      <c r="K9" s="911"/>
      <c r="L9" s="911"/>
      <c r="M9" s="911"/>
      <c r="N9" s="911"/>
      <c r="O9" s="911"/>
      <c r="P9" s="911"/>
      <c r="Q9" s="911"/>
      <c r="R9" s="911"/>
      <c r="S9" s="911"/>
      <c r="T9" s="911"/>
      <c r="U9" s="911"/>
      <c r="V9" s="912"/>
      <c r="X9" s="424"/>
      <c r="Z9" s="438" t="b">
        <v>0</v>
      </c>
      <c r="AB9" s="540" t="s">
        <v>285</v>
      </c>
      <c r="AC9" s="541"/>
      <c r="AE9" s="540"/>
      <c r="AF9" s="541"/>
      <c r="AH9" s="251"/>
      <c r="AI9" s="252"/>
      <c r="AJ9" s="252"/>
      <c r="AK9" s="253"/>
    </row>
    <row r="10" spans="1:37" ht="19.5" customHeight="1" x14ac:dyDescent="0.25">
      <c r="A10" s="115"/>
      <c r="B10" s="116"/>
      <c r="C10" s="435"/>
      <c r="D10" s="118">
        <f>[1]BEGINBLAD!D9</f>
        <v>8</v>
      </c>
      <c r="E10" s="106">
        <v>4</v>
      </c>
      <c r="F10" s="421" t="str">
        <f>BEGINBLAD!C8</f>
        <v>leerling 4</v>
      </c>
      <c r="G10" s="911" t="s">
        <v>346</v>
      </c>
      <c r="H10" s="911"/>
      <c r="I10" s="911"/>
      <c r="J10" s="911"/>
      <c r="K10" s="911"/>
      <c r="L10" s="911"/>
      <c r="M10" s="911"/>
      <c r="N10" s="911"/>
      <c r="O10" s="911"/>
      <c r="P10" s="911"/>
      <c r="Q10" s="911"/>
      <c r="R10" s="911"/>
      <c r="S10" s="911"/>
      <c r="T10" s="911"/>
      <c r="U10" s="911"/>
      <c r="V10" s="912"/>
      <c r="X10" s="424"/>
      <c r="Z10" s="438" t="b">
        <v>0</v>
      </c>
      <c r="AB10" s="540" t="s">
        <v>285</v>
      </c>
      <c r="AC10" s="541"/>
      <c r="AE10" s="540"/>
      <c r="AF10" s="541"/>
      <c r="AH10" s="251"/>
      <c r="AI10" s="252"/>
      <c r="AJ10" s="252"/>
      <c r="AK10" s="253"/>
    </row>
    <row r="11" spans="1:37" ht="19.5" customHeight="1" x14ac:dyDescent="0.25">
      <c r="A11" s="115"/>
      <c r="B11" s="116"/>
      <c r="C11" s="435"/>
      <c r="D11" s="121">
        <f>[1]BEGINBLAD!D10</f>
        <v>8</v>
      </c>
      <c r="E11" s="106">
        <v>5</v>
      </c>
      <c r="F11" s="421" t="str">
        <f>BEGINBLAD!C9</f>
        <v>leerling 5</v>
      </c>
      <c r="G11" s="911" t="s">
        <v>347</v>
      </c>
      <c r="H11" s="911"/>
      <c r="I11" s="911"/>
      <c r="J11" s="911"/>
      <c r="K11" s="911"/>
      <c r="L11" s="911"/>
      <c r="M11" s="911"/>
      <c r="N11" s="911"/>
      <c r="O11" s="911"/>
      <c r="P11" s="911"/>
      <c r="Q11" s="911"/>
      <c r="R11" s="911"/>
      <c r="S11" s="911"/>
      <c r="T11" s="911"/>
      <c r="U11" s="911"/>
      <c r="V11" s="912"/>
      <c r="X11" s="424"/>
      <c r="Z11" s="438" t="b">
        <v>0</v>
      </c>
      <c r="AB11" s="540"/>
      <c r="AC11" s="541"/>
      <c r="AE11" s="540"/>
      <c r="AF11" s="541"/>
      <c r="AH11" s="251"/>
      <c r="AI11" s="252"/>
      <c r="AJ11" s="252"/>
      <c r="AK11" s="253"/>
    </row>
    <row r="12" spans="1:37" ht="19.5" customHeight="1" x14ac:dyDescent="0.25">
      <c r="A12" s="115"/>
      <c r="B12" s="116"/>
      <c r="C12" s="435"/>
      <c r="D12" s="124">
        <f>[1]BEGINBLAD!D11</f>
        <v>8</v>
      </c>
      <c r="E12" s="106">
        <v>6</v>
      </c>
      <c r="F12" s="421" t="str">
        <f>BEGINBLAD!C10</f>
        <v>leerling 6</v>
      </c>
      <c r="G12" s="911"/>
      <c r="H12" s="911"/>
      <c r="I12" s="911"/>
      <c r="J12" s="911"/>
      <c r="K12" s="911"/>
      <c r="L12" s="911"/>
      <c r="M12" s="911"/>
      <c r="N12" s="911"/>
      <c r="O12" s="911"/>
      <c r="P12" s="911"/>
      <c r="Q12" s="911"/>
      <c r="R12" s="911"/>
      <c r="S12" s="911"/>
      <c r="T12" s="911"/>
      <c r="U12" s="911"/>
      <c r="V12" s="912"/>
      <c r="X12" s="424"/>
      <c r="Z12" s="438" t="b">
        <v>0</v>
      </c>
      <c r="AB12" s="540"/>
      <c r="AC12" s="541"/>
      <c r="AE12" s="540"/>
      <c r="AF12" s="541"/>
      <c r="AH12" s="251"/>
      <c r="AI12" s="252"/>
      <c r="AJ12" s="252"/>
      <c r="AK12" s="253"/>
    </row>
    <row r="13" spans="1:37" ht="19.5" customHeight="1" x14ac:dyDescent="0.25">
      <c r="A13" s="115"/>
      <c r="B13" s="116"/>
      <c r="C13" s="435"/>
      <c r="D13" s="124">
        <f>[1]BEGINBLAD!D12</f>
        <v>8</v>
      </c>
      <c r="E13" s="106">
        <v>7</v>
      </c>
      <c r="F13" s="421" t="str">
        <f>BEGINBLAD!C11</f>
        <v>leerling 7</v>
      </c>
      <c r="G13" s="911"/>
      <c r="H13" s="911"/>
      <c r="I13" s="911"/>
      <c r="J13" s="911"/>
      <c r="K13" s="911"/>
      <c r="L13" s="911"/>
      <c r="M13" s="911"/>
      <c r="N13" s="911"/>
      <c r="O13" s="911"/>
      <c r="P13" s="911"/>
      <c r="Q13" s="911"/>
      <c r="R13" s="911"/>
      <c r="S13" s="911"/>
      <c r="T13" s="911"/>
      <c r="U13" s="911"/>
      <c r="V13" s="912"/>
      <c r="X13" s="424"/>
      <c r="Z13" s="438" t="b">
        <v>0</v>
      </c>
      <c r="AB13" s="540"/>
      <c r="AC13" s="541"/>
      <c r="AE13" s="540"/>
      <c r="AF13" s="541"/>
      <c r="AH13" s="251"/>
      <c r="AI13" s="252"/>
      <c r="AJ13" s="252"/>
      <c r="AK13" s="253"/>
    </row>
    <row r="14" spans="1:37" ht="19.5" customHeight="1" x14ac:dyDescent="0.25">
      <c r="A14" s="115"/>
      <c r="B14" s="116"/>
      <c r="C14" s="435"/>
      <c r="D14" s="105">
        <f>[1]BEGINBLAD!D13</f>
        <v>8</v>
      </c>
      <c r="E14" s="106">
        <v>8</v>
      </c>
      <c r="F14" s="421" t="str">
        <f>BEGINBLAD!C12</f>
        <v>leerling 8</v>
      </c>
      <c r="G14" s="911" t="s">
        <v>347</v>
      </c>
      <c r="H14" s="911"/>
      <c r="I14" s="911"/>
      <c r="J14" s="911"/>
      <c r="K14" s="911"/>
      <c r="L14" s="911"/>
      <c r="M14" s="911"/>
      <c r="N14" s="911"/>
      <c r="O14" s="911"/>
      <c r="P14" s="911"/>
      <c r="Q14" s="911"/>
      <c r="R14" s="911"/>
      <c r="S14" s="911"/>
      <c r="T14" s="911"/>
      <c r="U14" s="911"/>
      <c r="V14" s="912"/>
      <c r="X14" s="424"/>
      <c r="Z14" s="438" t="b">
        <v>0</v>
      </c>
      <c r="AB14" s="540" t="s">
        <v>285</v>
      </c>
      <c r="AC14" s="541"/>
      <c r="AE14" s="540"/>
      <c r="AF14" s="541"/>
      <c r="AH14" s="251"/>
      <c r="AI14" s="252"/>
      <c r="AJ14" s="252"/>
      <c r="AK14" s="253"/>
    </row>
    <row r="15" spans="1:37" ht="19.5" customHeight="1" x14ac:dyDescent="0.25">
      <c r="A15" s="115"/>
      <c r="B15" s="116"/>
      <c r="C15" s="435"/>
      <c r="D15" s="105">
        <f>[1]BEGINBLAD!D14</f>
        <v>8</v>
      </c>
      <c r="E15" s="106">
        <v>9</v>
      </c>
      <c r="F15" s="421" t="str">
        <f>BEGINBLAD!C13</f>
        <v>leerling 9</v>
      </c>
      <c r="G15" s="911"/>
      <c r="H15" s="911"/>
      <c r="I15" s="911"/>
      <c r="J15" s="911"/>
      <c r="K15" s="911"/>
      <c r="L15" s="911"/>
      <c r="M15" s="911"/>
      <c r="N15" s="911"/>
      <c r="O15" s="911"/>
      <c r="P15" s="911"/>
      <c r="Q15" s="911"/>
      <c r="R15" s="911"/>
      <c r="S15" s="911"/>
      <c r="T15" s="911"/>
      <c r="U15" s="911"/>
      <c r="V15" s="912"/>
      <c r="X15" s="424"/>
      <c r="Z15" s="438" t="b">
        <v>0</v>
      </c>
      <c r="AB15" s="540"/>
      <c r="AC15" s="541"/>
      <c r="AE15" s="540"/>
      <c r="AF15" s="541"/>
      <c r="AH15" s="251"/>
      <c r="AI15" s="252"/>
      <c r="AJ15" s="252"/>
      <c r="AK15" s="253"/>
    </row>
    <row r="16" spans="1:37" ht="19.5" customHeight="1" x14ac:dyDescent="0.25">
      <c r="A16" s="115"/>
      <c r="B16" s="116"/>
      <c r="C16" s="435"/>
      <c r="D16" s="105">
        <f>[1]BEGINBLAD!D15</f>
        <v>8</v>
      </c>
      <c r="E16" s="106">
        <v>10</v>
      </c>
      <c r="F16" s="421" t="str">
        <f>BEGINBLAD!C14</f>
        <v>leerling 10</v>
      </c>
      <c r="G16" s="911"/>
      <c r="H16" s="911"/>
      <c r="I16" s="911"/>
      <c r="J16" s="911"/>
      <c r="K16" s="911"/>
      <c r="L16" s="911"/>
      <c r="M16" s="911"/>
      <c r="N16" s="911"/>
      <c r="O16" s="911"/>
      <c r="P16" s="911"/>
      <c r="Q16" s="911"/>
      <c r="R16" s="911"/>
      <c r="S16" s="911"/>
      <c r="T16" s="911"/>
      <c r="U16" s="911"/>
      <c r="V16" s="912"/>
      <c r="X16" s="424"/>
      <c r="Z16" s="438" t="b">
        <v>0</v>
      </c>
      <c r="AB16" s="540" t="s">
        <v>285</v>
      </c>
      <c r="AC16" s="541"/>
      <c r="AE16" s="540"/>
      <c r="AF16" s="541"/>
      <c r="AH16" s="251"/>
      <c r="AI16" s="252"/>
      <c r="AJ16" s="252"/>
      <c r="AK16" s="253"/>
    </row>
    <row r="17" spans="1:37" ht="19.5" customHeight="1" x14ac:dyDescent="0.25">
      <c r="A17" s="115"/>
      <c r="B17" s="116"/>
      <c r="C17" s="435"/>
      <c r="D17" s="105">
        <f>[1]BEGINBLAD!D16</f>
        <v>8</v>
      </c>
      <c r="E17" s="106">
        <v>11</v>
      </c>
      <c r="F17" s="421" t="str">
        <f>BEGINBLAD!C15</f>
        <v>leerling 11</v>
      </c>
      <c r="G17" s="911"/>
      <c r="H17" s="911"/>
      <c r="I17" s="911"/>
      <c r="J17" s="911"/>
      <c r="K17" s="911"/>
      <c r="L17" s="911"/>
      <c r="M17" s="911"/>
      <c r="N17" s="911"/>
      <c r="O17" s="911"/>
      <c r="P17" s="911"/>
      <c r="Q17" s="911"/>
      <c r="R17" s="911"/>
      <c r="S17" s="911"/>
      <c r="T17" s="911"/>
      <c r="U17" s="911"/>
      <c r="V17" s="912"/>
      <c r="X17" s="424"/>
      <c r="Z17" s="438" t="b">
        <v>0</v>
      </c>
      <c r="AB17" s="540"/>
      <c r="AC17" s="541"/>
      <c r="AE17" s="540"/>
      <c r="AF17" s="541"/>
      <c r="AH17" s="251"/>
      <c r="AI17" s="252"/>
      <c r="AJ17" s="252"/>
      <c r="AK17" s="253"/>
    </row>
    <row r="18" spans="1:37" ht="19.5" customHeight="1" x14ac:dyDescent="0.25">
      <c r="A18" s="115"/>
      <c r="B18" s="116"/>
      <c r="C18" s="435"/>
      <c r="D18" s="105">
        <f>[1]BEGINBLAD!D17</f>
        <v>8</v>
      </c>
      <c r="E18" s="106">
        <v>12</v>
      </c>
      <c r="F18" s="421" t="str">
        <f>BEGINBLAD!C16</f>
        <v>leerling 12</v>
      </c>
      <c r="G18" s="911"/>
      <c r="H18" s="911"/>
      <c r="I18" s="911"/>
      <c r="J18" s="911"/>
      <c r="K18" s="911"/>
      <c r="L18" s="911"/>
      <c r="M18" s="911"/>
      <c r="N18" s="911"/>
      <c r="O18" s="911"/>
      <c r="P18" s="911"/>
      <c r="Q18" s="911"/>
      <c r="R18" s="911"/>
      <c r="S18" s="911"/>
      <c r="T18" s="911"/>
      <c r="U18" s="911"/>
      <c r="V18" s="912"/>
      <c r="W18" s="113"/>
      <c r="X18" s="424"/>
      <c r="Z18" s="438" t="b">
        <v>0</v>
      </c>
      <c r="AB18" s="540"/>
      <c r="AC18" s="541"/>
      <c r="AE18" s="540"/>
      <c r="AF18" s="541"/>
      <c r="AH18" s="251"/>
      <c r="AI18" s="252"/>
      <c r="AJ18" s="252"/>
      <c r="AK18" s="253"/>
    </row>
    <row r="19" spans="1:37" ht="19.5" customHeight="1" x14ac:dyDescent="0.25">
      <c r="A19" s="115"/>
      <c r="B19" s="116"/>
      <c r="C19" s="435"/>
      <c r="D19" s="118">
        <f>[1]BEGINBLAD!D18</f>
        <v>8</v>
      </c>
      <c r="E19" s="106">
        <v>13</v>
      </c>
      <c r="F19" s="421" t="str">
        <f>BEGINBLAD!C17</f>
        <v>leerling 13</v>
      </c>
      <c r="G19" s="911"/>
      <c r="H19" s="911"/>
      <c r="I19" s="911"/>
      <c r="J19" s="911"/>
      <c r="K19" s="911"/>
      <c r="L19" s="911"/>
      <c r="M19" s="911"/>
      <c r="N19" s="911"/>
      <c r="O19" s="911"/>
      <c r="P19" s="911"/>
      <c r="Q19" s="911"/>
      <c r="R19" s="911"/>
      <c r="S19" s="911"/>
      <c r="T19" s="911"/>
      <c r="U19" s="911"/>
      <c r="V19" s="912"/>
      <c r="W19" s="422"/>
      <c r="X19" s="424"/>
      <c r="Z19" s="438" t="b">
        <v>0</v>
      </c>
      <c r="AB19" s="540"/>
      <c r="AC19" s="541" t="s">
        <v>285</v>
      </c>
      <c r="AE19" s="540"/>
      <c r="AF19" s="541"/>
      <c r="AH19" s="251"/>
      <c r="AI19" s="252"/>
      <c r="AJ19" s="252"/>
      <c r="AK19" s="253"/>
    </row>
    <row r="20" spans="1:37" ht="19.5" customHeight="1" x14ac:dyDescent="0.25">
      <c r="A20" s="115"/>
      <c r="B20" s="116"/>
      <c r="C20" s="435"/>
      <c r="D20" s="124">
        <f>[1]BEGINBLAD!D19</f>
        <v>8</v>
      </c>
      <c r="E20" s="106">
        <v>14</v>
      </c>
      <c r="F20" s="421" t="str">
        <f>BEGINBLAD!C18</f>
        <v>leerling 14</v>
      </c>
      <c r="G20" s="911" t="s">
        <v>348</v>
      </c>
      <c r="H20" s="911"/>
      <c r="I20" s="911"/>
      <c r="J20" s="911"/>
      <c r="K20" s="911"/>
      <c r="L20" s="911"/>
      <c r="M20" s="911"/>
      <c r="N20" s="911"/>
      <c r="O20" s="911"/>
      <c r="P20" s="911"/>
      <c r="Q20" s="911"/>
      <c r="R20" s="911"/>
      <c r="S20" s="911"/>
      <c r="T20" s="911"/>
      <c r="U20" s="911"/>
      <c r="V20" s="912"/>
      <c r="W20" s="422"/>
      <c r="X20" s="424"/>
      <c r="Z20" s="438" t="b">
        <v>1</v>
      </c>
      <c r="AB20" s="540"/>
      <c r="AC20" s="541" t="s">
        <v>285</v>
      </c>
      <c r="AE20" s="540"/>
      <c r="AF20" s="541"/>
      <c r="AH20" s="251"/>
      <c r="AI20" s="252"/>
      <c r="AJ20" s="252"/>
      <c r="AK20" s="253"/>
    </row>
    <row r="21" spans="1:37" ht="19.5" customHeight="1" x14ac:dyDescent="0.25">
      <c r="D21" s="124">
        <f>[1]BEGINBLAD!D20</f>
        <v>8</v>
      </c>
      <c r="E21" s="106">
        <v>15</v>
      </c>
      <c r="F21" s="421" t="str">
        <f>BEGINBLAD!C19</f>
        <v>leerling 15</v>
      </c>
      <c r="G21" s="911" t="s">
        <v>347</v>
      </c>
      <c r="H21" s="911"/>
      <c r="I21" s="911"/>
      <c r="J21" s="911"/>
      <c r="K21" s="911"/>
      <c r="L21" s="911"/>
      <c r="M21" s="911"/>
      <c r="N21" s="911"/>
      <c r="O21" s="911"/>
      <c r="P21" s="911"/>
      <c r="Q21" s="911"/>
      <c r="R21" s="911"/>
      <c r="S21" s="911"/>
      <c r="T21" s="911"/>
      <c r="U21" s="911"/>
      <c r="V21" s="912"/>
      <c r="W21" s="422"/>
      <c r="X21" s="424"/>
      <c r="Y21" s="103"/>
      <c r="Z21" s="439" t="b">
        <v>0</v>
      </c>
      <c r="AA21" s="103"/>
      <c r="AB21" s="540"/>
      <c r="AC21" s="541"/>
      <c r="AD21" s="103"/>
      <c r="AE21" s="540"/>
      <c r="AF21" s="541"/>
      <c r="AH21" s="251"/>
      <c r="AI21" s="252"/>
      <c r="AJ21" s="252"/>
      <c r="AK21" s="253"/>
    </row>
    <row r="22" spans="1:37" ht="19.5" customHeight="1" x14ac:dyDescent="0.3">
      <c r="D22" s="124">
        <f>[1]BEGINBLAD!D21</f>
        <v>8</v>
      </c>
      <c r="E22" s="106">
        <v>16</v>
      </c>
      <c r="F22" s="421" t="str">
        <f>BEGINBLAD!C20</f>
        <v>leerling 16</v>
      </c>
      <c r="G22" s="911"/>
      <c r="H22" s="911"/>
      <c r="I22" s="911"/>
      <c r="J22" s="911"/>
      <c r="K22" s="911"/>
      <c r="L22" s="911"/>
      <c r="M22" s="911"/>
      <c r="N22" s="911"/>
      <c r="O22" s="911"/>
      <c r="P22" s="911"/>
      <c r="Q22" s="911"/>
      <c r="R22" s="911"/>
      <c r="S22" s="911"/>
      <c r="T22" s="911"/>
      <c r="U22" s="911"/>
      <c r="V22" s="912"/>
      <c r="W22" s="422"/>
      <c r="X22" s="424"/>
      <c r="Y22" s="129"/>
      <c r="Z22" s="440" t="b">
        <v>0</v>
      </c>
      <c r="AA22" s="141"/>
      <c r="AB22" s="540"/>
      <c r="AC22" s="541"/>
      <c r="AD22" s="141"/>
      <c r="AE22" s="540"/>
      <c r="AF22" s="541"/>
      <c r="AG22" s="132"/>
      <c r="AH22" s="251"/>
      <c r="AI22" s="252"/>
      <c r="AJ22" s="252"/>
      <c r="AK22" s="253"/>
    </row>
    <row r="23" spans="1:37" ht="19.5" customHeight="1" x14ac:dyDescent="0.25">
      <c r="D23" s="124">
        <f>[1]BEGINBLAD!D22</f>
        <v>8</v>
      </c>
      <c r="E23" s="106">
        <v>17</v>
      </c>
      <c r="F23" s="421" t="str">
        <f>BEGINBLAD!C21</f>
        <v>leerling 17</v>
      </c>
      <c r="G23" s="911"/>
      <c r="H23" s="911"/>
      <c r="I23" s="911"/>
      <c r="J23" s="911"/>
      <c r="K23" s="911"/>
      <c r="L23" s="911"/>
      <c r="M23" s="911"/>
      <c r="N23" s="911"/>
      <c r="O23" s="911"/>
      <c r="P23" s="911"/>
      <c r="Q23" s="911"/>
      <c r="R23" s="911"/>
      <c r="S23" s="911"/>
      <c r="T23" s="911"/>
      <c r="U23" s="911"/>
      <c r="V23" s="912"/>
      <c r="W23" s="113"/>
      <c r="X23" s="424"/>
      <c r="Y23" s="129"/>
      <c r="Z23" s="439" t="b">
        <v>0</v>
      </c>
      <c r="AA23" s="129"/>
      <c r="AB23" s="540"/>
      <c r="AC23" s="541"/>
      <c r="AD23" s="129"/>
      <c r="AE23" s="540"/>
      <c r="AF23" s="541"/>
      <c r="AH23" s="251"/>
      <c r="AI23" s="252"/>
      <c r="AJ23" s="252"/>
      <c r="AK23" s="253"/>
    </row>
    <row r="24" spans="1:37" ht="19.5" customHeight="1" x14ac:dyDescent="0.25">
      <c r="D24" s="124">
        <f>[1]BEGINBLAD!D23</f>
        <v>8</v>
      </c>
      <c r="E24" s="106">
        <v>18</v>
      </c>
      <c r="F24" s="421" t="str">
        <f>BEGINBLAD!C22</f>
        <v>leerling 18</v>
      </c>
      <c r="G24" s="911"/>
      <c r="H24" s="911"/>
      <c r="I24" s="911"/>
      <c r="J24" s="911"/>
      <c r="K24" s="911"/>
      <c r="L24" s="911"/>
      <c r="M24" s="911"/>
      <c r="N24" s="911"/>
      <c r="O24" s="911"/>
      <c r="P24" s="911"/>
      <c r="Q24" s="911"/>
      <c r="R24" s="911"/>
      <c r="S24" s="911"/>
      <c r="T24" s="911"/>
      <c r="U24" s="911"/>
      <c r="V24" s="912"/>
      <c r="W24" s="422"/>
      <c r="X24" s="424"/>
      <c r="Y24" s="129"/>
      <c r="Z24" s="439" t="b">
        <v>0</v>
      </c>
      <c r="AA24" s="129"/>
      <c r="AB24" s="540"/>
      <c r="AC24" s="541"/>
      <c r="AD24" s="129"/>
      <c r="AE24" s="540"/>
      <c r="AF24" s="541"/>
      <c r="AH24" s="251"/>
      <c r="AI24" s="252"/>
      <c r="AJ24" s="252"/>
      <c r="AK24" s="253"/>
    </row>
    <row r="25" spans="1:37" ht="19.5" customHeight="1" x14ac:dyDescent="0.25">
      <c r="B25" s="135"/>
      <c r="C25" s="135"/>
      <c r="D25" s="124">
        <f>[1]BEGINBLAD!D24</f>
        <v>8</v>
      </c>
      <c r="E25" s="106">
        <v>19</v>
      </c>
      <c r="F25" s="421" t="str">
        <f>BEGINBLAD!C23</f>
        <v>leerling 19</v>
      </c>
      <c r="G25" s="911" t="s">
        <v>349</v>
      </c>
      <c r="H25" s="911"/>
      <c r="I25" s="911"/>
      <c r="J25" s="911"/>
      <c r="K25" s="911"/>
      <c r="L25" s="911"/>
      <c r="M25" s="911"/>
      <c r="N25" s="911"/>
      <c r="O25" s="911"/>
      <c r="P25" s="911"/>
      <c r="Q25" s="911"/>
      <c r="R25" s="911"/>
      <c r="S25" s="911"/>
      <c r="T25" s="911"/>
      <c r="U25" s="911"/>
      <c r="V25" s="912"/>
      <c r="W25" s="422"/>
      <c r="X25" s="424"/>
      <c r="Y25" s="129"/>
      <c r="Z25" s="439" t="b">
        <v>1</v>
      </c>
      <c r="AA25" s="129"/>
      <c r="AB25" s="540"/>
      <c r="AC25" s="541"/>
      <c r="AD25" s="129"/>
      <c r="AE25" s="540"/>
      <c r="AF25" s="541"/>
      <c r="AH25" s="251"/>
      <c r="AI25" s="252"/>
      <c r="AJ25" s="252"/>
      <c r="AK25" s="253"/>
    </row>
    <row r="26" spans="1:37" ht="19.5" customHeight="1" x14ac:dyDescent="0.25">
      <c r="B26" s="136"/>
      <c r="C26" s="135"/>
      <c r="D26" s="124">
        <f>[1]BEGINBLAD!D25</f>
        <v>8</v>
      </c>
      <c r="E26" s="106">
        <v>20</v>
      </c>
      <c r="F26" s="421" t="str">
        <f>BEGINBLAD!C24</f>
        <v>leerling 20</v>
      </c>
      <c r="G26" s="911"/>
      <c r="H26" s="911"/>
      <c r="I26" s="911"/>
      <c r="J26" s="911"/>
      <c r="K26" s="911"/>
      <c r="L26" s="911"/>
      <c r="M26" s="911"/>
      <c r="N26" s="911"/>
      <c r="O26" s="911"/>
      <c r="P26" s="911"/>
      <c r="Q26" s="911"/>
      <c r="R26" s="911"/>
      <c r="S26" s="911"/>
      <c r="T26" s="911"/>
      <c r="U26" s="911"/>
      <c r="V26" s="912"/>
      <c r="W26" s="422"/>
      <c r="X26" s="424"/>
      <c r="Y26" s="129"/>
      <c r="Z26" s="439" t="b">
        <v>0</v>
      </c>
      <c r="AA26" s="129"/>
      <c r="AB26" s="540"/>
      <c r="AC26" s="541"/>
      <c r="AD26" s="129"/>
      <c r="AE26" s="540"/>
      <c r="AF26" s="541"/>
      <c r="AH26" s="251"/>
      <c r="AI26" s="252"/>
      <c r="AJ26" s="252"/>
      <c r="AK26" s="253"/>
    </row>
    <row r="27" spans="1:37" ht="19.5" customHeight="1" x14ac:dyDescent="0.25">
      <c r="B27" s="136"/>
      <c r="C27" s="135"/>
      <c r="D27" s="124">
        <f>[1]BEGINBLAD!D26</f>
        <v>8</v>
      </c>
      <c r="E27" s="106">
        <v>21</v>
      </c>
      <c r="F27" s="421" t="str">
        <f>BEGINBLAD!C25</f>
        <v>leerling 21</v>
      </c>
      <c r="G27" s="911" t="s">
        <v>350</v>
      </c>
      <c r="H27" s="911"/>
      <c r="I27" s="911"/>
      <c r="J27" s="911"/>
      <c r="K27" s="911"/>
      <c r="L27" s="911"/>
      <c r="M27" s="911"/>
      <c r="N27" s="911"/>
      <c r="O27" s="911"/>
      <c r="P27" s="911"/>
      <c r="Q27" s="911"/>
      <c r="R27" s="911"/>
      <c r="S27" s="911"/>
      <c r="T27" s="911"/>
      <c r="U27" s="911"/>
      <c r="V27" s="912"/>
      <c r="W27" s="422"/>
      <c r="X27" s="424"/>
      <c r="Y27" s="129"/>
      <c r="Z27" s="439" t="b">
        <v>0</v>
      </c>
      <c r="AA27" s="129"/>
      <c r="AB27" s="540"/>
      <c r="AC27" s="541"/>
      <c r="AD27" s="129"/>
      <c r="AE27" s="540"/>
      <c r="AF27" s="541"/>
      <c r="AH27" s="251"/>
      <c r="AI27" s="252"/>
      <c r="AJ27" s="252"/>
      <c r="AK27" s="253"/>
    </row>
    <row r="28" spans="1:37" ht="19.5" customHeight="1" x14ac:dyDescent="0.25">
      <c r="D28" s="124">
        <f>[1]BEGINBLAD!D27</f>
        <v>8</v>
      </c>
      <c r="E28" s="106">
        <v>22</v>
      </c>
      <c r="F28" s="421" t="str">
        <f>BEGINBLAD!C26</f>
        <v>leerling 22</v>
      </c>
      <c r="G28" s="911" t="s">
        <v>346</v>
      </c>
      <c r="H28" s="911"/>
      <c r="I28" s="911"/>
      <c r="J28" s="911"/>
      <c r="K28" s="911"/>
      <c r="L28" s="911"/>
      <c r="M28" s="911"/>
      <c r="N28" s="911"/>
      <c r="O28" s="911"/>
      <c r="P28" s="911"/>
      <c r="Q28" s="911"/>
      <c r="R28" s="911"/>
      <c r="S28" s="911"/>
      <c r="T28" s="911"/>
      <c r="U28" s="911"/>
      <c r="V28" s="912"/>
      <c r="W28" s="113"/>
      <c r="X28" s="424"/>
      <c r="Y28" s="103"/>
      <c r="Z28" s="439" t="b">
        <v>0</v>
      </c>
      <c r="AA28" s="103"/>
      <c r="AB28" s="540"/>
      <c r="AC28" s="541"/>
      <c r="AD28" s="103"/>
      <c r="AE28" s="540"/>
      <c r="AF28" s="541"/>
      <c r="AH28" s="251"/>
      <c r="AI28" s="252"/>
      <c r="AJ28" s="252"/>
      <c r="AK28" s="253"/>
    </row>
    <row r="29" spans="1:37" s="139" customFormat="1" ht="19.5" customHeight="1" x14ac:dyDescent="0.55000000000000004">
      <c r="A29" s="103"/>
      <c r="B29" s="913" t="s">
        <v>2</v>
      </c>
      <c r="C29" s="104" t="s">
        <v>72</v>
      </c>
      <c r="D29" s="118">
        <f>[1]BEGINBLAD!D28</f>
        <v>8</v>
      </c>
      <c r="E29" s="106">
        <v>23</v>
      </c>
      <c r="F29" s="421" t="str">
        <f>BEGINBLAD!C27</f>
        <v>leerling 23</v>
      </c>
      <c r="G29" s="911" t="s">
        <v>347</v>
      </c>
      <c r="H29" s="911"/>
      <c r="I29" s="911"/>
      <c r="J29" s="911"/>
      <c r="K29" s="911"/>
      <c r="L29" s="911"/>
      <c r="M29" s="911"/>
      <c r="N29" s="911"/>
      <c r="O29" s="911"/>
      <c r="P29" s="911"/>
      <c r="Q29" s="911"/>
      <c r="R29" s="911"/>
      <c r="S29" s="911"/>
      <c r="T29" s="911"/>
      <c r="U29" s="911"/>
      <c r="V29" s="912"/>
      <c r="W29" s="422"/>
      <c r="X29" s="424"/>
      <c r="Y29" s="138"/>
      <c r="Z29" s="439" t="b">
        <v>0</v>
      </c>
      <c r="AA29" s="395"/>
      <c r="AB29" s="540" t="s">
        <v>285</v>
      </c>
      <c r="AC29" s="541"/>
      <c r="AD29" s="395"/>
      <c r="AE29" s="540"/>
      <c r="AF29" s="541"/>
      <c r="AH29" s="251"/>
      <c r="AI29" s="252"/>
      <c r="AJ29" s="252"/>
      <c r="AK29" s="253"/>
    </row>
    <row r="30" spans="1:37" ht="19.5" customHeight="1" x14ac:dyDescent="0.25">
      <c r="A30" s="103"/>
      <c r="B30" s="913"/>
      <c r="C30" s="114" t="s">
        <v>69</v>
      </c>
      <c r="D30" s="118">
        <f>[1]BEGINBLAD!D29</f>
        <v>8</v>
      </c>
      <c r="E30" s="106">
        <v>24</v>
      </c>
      <c r="F30" s="421" t="str">
        <f>BEGINBLAD!C28</f>
        <v>leerling 24</v>
      </c>
      <c r="G30" s="911"/>
      <c r="H30" s="911"/>
      <c r="I30" s="911"/>
      <c r="J30" s="911"/>
      <c r="K30" s="911"/>
      <c r="L30" s="911"/>
      <c r="M30" s="911"/>
      <c r="N30" s="911"/>
      <c r="O30" s="911"/>
      <c r="P30" s="911"/>
      <c r="Q30" s="911"/>
      <c r="R30" s="911"/>
      <c r="S30" s="911"/>
      <c r="T30" s="911"/>
      <c r="U30" s="911"/>
      <c r="V30" s="912"/>
      <c r="W30" s="422"/>
      <c r="X30" s="424"/>
      <c r="Y30" s="91"/>
      <c r="Z30" s="439" t="b">
        <v>0</v>
      </c>
      <c r="AA30" s="390"/>
      <c r="AB30" s="540"/>
      <c r="AC30" s="541"/>
      <c r="AD30" s="390"/>
      <c r="AE30" s="540"/>
      <c r="AF30" s="541"/>
      <c r="AH30" s="251"/>
      <c r="AI30" s="252"/>
      <c r="AJ30" s="252"/>
      <c r="AK30" s="253"/>
    </row>
    <row r="31" spans="1:37" ht="19.5" customHeight="1" x14ac:dyDescent="0.25">
      <c r="A31" s="115"/>
      <c r="B31" s="116"/>
      <c r="C31" s="435"/>
      <c r="D31" s="105">
        <f>[1]BEGINBLAD!D30</f>
        <v>8</v>
      </c>
      <c r="E31" s="106">
        <v>25</v>
      </c>
      <c r="F31" s="421" t="str">
        <f>BEGINBLAD!C29</f>
        <v>leerling 25</v>
      </c>
      <c r="G31" s="911" t="s">
        <v>351</v>
      </c>
      <c r="H31" s="911"/>
      <c r="I31" s="911"/>
      <c r="J31" s="911"/>
      <c r="K31" s="911"/>
      <c r="L31" s="911"/>
      <c r="M31" s="911"/>
      <c r="N31" s="911"/>
      <c r="O31" s="911"/>
      <c r="P31" s="911"/>
      <c r="Q31" s="911"/>
      <c r="R31" s="911"/>
      <c r="S31" s="911"/>
      <c r="T31" s="911"/>
      <c r="U31" s="911"/>
      <c r="V31" s="912"/>
      <c r="W31" s="422"/>
      <c r="X31" s="424"/>
      <c r="Y31" s="141"/>
      <c r="Z31" s="439" t="b">
        <v>0</v>
      </c>
      <c r="AA31" s="141"/>
      <c r="AB31" s="540"/>
      <c r="AC31" s="541"/>
      <c r="AD31" s="141"/>
      <c r="AE31" s="540"/>
      <c r="AF31" s="541"/>
      <c r="AH31" s="251"/>
      <c r="AI31" s="252"/>
      <c r="AJ31" s="252"/>
      <c r="AK31" s="253"/>
    </row>
    <row r="32" spans="1:37" ht="19.5" customHeight="1" x14ac:dyDescent="0.25">
      <c r="A32" s="115"/>
      <c r="B32" s="116"/>
      <c r="C32" s="435"/>
      <c r="D32" s="105">
        <f>[1]BEGINBLAD!D31</f>
        <v>8</v>
      </c>
      <c r="E32" s="106">
        <v>26</v>
      </c>
      <c r="F32" s="421" t="str">
        <f>BEGINBLAD!C30</f>
        <v>leerling 26</v>
      </c>
      <c r="G32" s="911"/>
      <c r="H32" s="911"/>
      <c r="I32" s="911"/>
      <c r="J32" s="911"/>
      <c r="K32" s="911"/>
      <c r="L32" s="911"/>
      <c r="M32" s="911"/>
      <c r="N32" s="911"/>
      <c r="O32" s="911"/>
      <c r="P32" s="911"/>
      <c r="Q32" s="911"/>
      <c r="R32" s="911"/>
      <c r="S32" s="911"/>
      <c r="T32" s="911"/>
      <c r="U32" s="911"/>
      <c r="V32" s="912"/>
      <c r="W32" s="422"/>
      <c r="X32" s="424"/>
      <c r="Y32" s="129"/>
      <c r="Z32" s="439" t="b">
        <v>0</v>
      </c>
      <c r="AA32" s="129"/>
      <c r="AB32" s="540"/>
      <c r="AC32" s="541"/>
      <c r="AD32" s="129"/>
      <c r="AE32" s="540"/>
      <c r="AF32" s="541"/>
      <c r="AH32" s="251"/>
      <c r="AI32" s="252"/>
      <c r="AJ32" s="252"/>
      <c r="AK32" s="253"/>
    </row>
    <row r="33" spans="1:37" ht="19.5" customHeight="1" x14ac:dyDescent="0.25">
      <c r="A33" s="115"/>
      <c r="B33" s="116"/>
      <c r="C33" s="435"/>
      <c r="D33" s="105">
        <f>[1]BEGINBLAD!D32</f>
        <v>8</v>
      </c>
      <c r="E33" s="106">
        <v>27</v>
      </c>
      <c r="F33" s="421">
        <f>BEGINBLAD!C31</f>
        <v>0</v>
      </c>
      <c r="G33" s="911"/>
      <c r="H33" s="911"/>
      <c r="I33" s="911"/>
      <c r="J33" s="911"/>
      <c r="K33" s="911"/>
      <c r="L33" s="911"/>
      <c r="M33" s="911"/>
      <c r="N33" s="911"/>
      <c r="O33" s="911"/>
      <c r="P33" s="911"/>
      <c r="Q33" s="911"/>
      <c r="R33" s="911"/>
      <c r="S33" s="911"/>
      <c r="T33" s="911"/>
      <c r="U33" s="911"/>
      <c r="V33" s="912"/>
      <c r="W33" s="113"/>
      <c r="X33" s="424"/>
      <c r="Y33" s="129"/>
      <c r="Z33" s="439" t="b">
        <v>0</v>
      </c>
      <c r="AA33" s="129"/>
      <c r="AB33" s="540"/>
      <c r="AC33" s="541"/>
      <c r="AD33" s="129"/>
      <c r="AE33" s="540"/>
      <c r="AF33" s="541"/>
      <c r="AH33" s="251"/>
      <c r="AI33" s="252"/>
      <c r="AJ33" s="252"/>
      <c r="AK33" s="253"/>
    </row>
    <row r="34" spans="1:37" ht="19.5" customHeight="1" x14ac:dyDescent="0.25">
      <c r="A34" s="115"/>
      <c r="B34" s="116"/>
      <c r="C34" s="435"/>
      <c r="D34" s="105">
        <f>[1]BEGINBLAD!D33</f>
        <v>8</v>
      </c>
      <c r="E34" s="106">
        <v>28</v>
      </c>
      <c r="F34" s="421">
        <f>BEGINBLAD!C32</f>
        <v>0</v>
      </c>
      <c r="G34" s="911"/>
      <c r="H34" s="911"/>
      <c r="I34" s="911"/>
      <c r="J34" s="911"/>
      <c r="K34" s="911"/>
      <c r="L34" s="911"/>
      <c r="M34" s="911"/>
      <c r="N34" s="911"/>
      <c r="O34" s="911"/>
      <c r="P34" s="911"/>
      <c r="Q34" s="911"/>
      <c r="R34" s="911"/>
      <c r="S34" s="911"/>
      <c r="T34" s="911"/>
      <c r="U34" s="911"/>
      <c r="V34" s="912"/>
      <c r="W34" s="422"/>
      <c r="X34" s="424"/>
      <c r="Y34" s="129"/>
      <c r="Z34" s="439" t="b">
        <v>0</v>
      </c>
      <c r="AA34" s="129"/>
      <c r="AB34" s="540"/>
      <c r="AC34" s="541"/>
      <c r="AD34" s="129"/>
      <c r="AE34" s="540"/>
      <c r="AF34" s="541"/>
      <c r="AH34" s="251"/>
      <c r="AI34" s="252"/>
      <c r="AJ34" s="252"/>
      <c r="AK34" s="253"/>
    </row>
    <row r="35" spans="1:37" ht="19.5" customHeight="1" x14ac:dyDescent="0.25">
      <c r="A35" s="115"/>
      <c r="B35" s="116"/>
      <c r="C35" s="435"/>
      <c r="D35" s="105">
        <f>[1]BEGINBLAD!D34</f>
        <v>8</v>
      </c>
      <c r="E35" s="106">
        <v>29</v>
      </c>
      <c r="F35" s="421">
        <f>BEGINBLAD!C33</f>
        <v>0</v>
      </c>
      <c r="G35" s="911"/>
      <c r="H35" s="911"/>
      <c r="I35" s="911"/>
      <c r="J35" s="911"/>
      <c r="K35" s="911"/>
      <c r="L35" s="911"/>
      <c r="M35" s="911"/>
      <c r="N35" s="911"/>
      <c r="O35" s="911"/>
      <c r="P35" s="911"/>
      <c r="Q35" s="911"/>
      <c r="R35" s="911"/>
      <c r="S35" s="911"/>
      <c r="T35" s="911"/>
      <c r="U35" s="911"/>
      <c r="V35" s="912"/>
      <c r="W35" s="422"/>
      <c r="X35" s="424"/>
      <c r="Y35" s="129"/>
      <c r="Z35" s="439" t="b">
        <v>0</v>
      </c>
      <c r="AA35" s="129"/>
      <c r="AB35" s="540"/>
      <c r="AC35" s="541"/>
      <c r="AD35" s="129"/>
      <c r="AE35" s="540"/>
      <c r="AF35" s="541"/>
      <c r="AH35" s="251"/>
      <c r="AI35" s="252"/>
      <c r="AJ35" s="252"/>
      <c r="AK35" s="253"/>
    </row>
    <row r="36" spans="1:37" ht="19.5" customHeight="1" x14ac:dyDescent="0.25">
      <c r="A36" s="115"/>
      <c r="B36" s="116"/>
      <c r="C36" s="435"/>
      <c r="D36" s="105">
        <f>[1]BEGINBLAD!D35</f>
        <v>0</v>
      </c>
      <c r="E36" s="106">
        <v>30</v>
      </c>
      <c r="F36" s="421">
        <f>BEGINBLAD!C34</f>
        <v>0</v>
      </c>
      <c r="G36" s="911"/>
      <c r="H36" s="911"/>
      <c r="I36" s="911"/>
      <c r="J36" s="911"/>
      <c r="K36" s="911"/>
      <c r="L36" s="911"/>
      <c r="M36" s="911"/>
      <c r="N36" s="911"/>
      <c r="O36" s="911"/>
      <c r="P36" s="911"/>
      <c r="Q36" s="911"/>
      <c r="R36" s="911"/>
      <c r="S36" s="911"/>
      <c r="T36" s="911"/>
      <c r="U36" s="911"/>
      <c r="V36" s="912"/>
      <c r="W36" s="422"/>
      <c r="X36" s="424"/>
      <c r="Y36" s="129"/>
      <c r="Z36" s="439" t="b">
        <v>0</v>
      </c>
      <c r="AA36" s="129"/>
      <c r="AB36" s="540"/>
      <c r="AC36" s="541"/>
      <c r="AD36" s="129"/>
      <c r="AE36" s="540"/>
      <c r="AF36" s="541"/>
      <c r="AH36" s="251"/>
      <c r="AI36" s="252"/>
      <c r="AJ36" s="252"/>
      <c r="AK36" s="253"/>
    </row>
    <row r="37" spans="1:37" ht="19.5" customHeight="1" x14ac:dyDescent="0.25">
      <c r="A37" s="115"/>
      <c r="B37" s="116"/>
      <c r="C37" s="435"/>
      <c r="D37" s="105">
        <f>[1]BEGINBLAD!D36</f>
        <v>0</v>
      </c>
      <c r="E37" s="106">
        <v>31</v>
      </c>
      <c r="F37" s="421">
        <f>BEGINBLAD!C35</f>
        <v>0</v>
      </c>
      <c r="G37" s="911"/>
      <c r="H37" s="911"/>
      <c r="I37" s="911"/>
      <c r="J37" s="911"/>
      <c r="K37" s="911"/>
      <c r="L37" s="911"/>
      <c r="M37" s="911"/>
      <c r="N37" s="911"/>
      <c r="O37" s="911"/>
      <c r="P37" s="911"/>
      <c r="Q37" s="911"/>
      <c r="R37" s="911"/>
      <c r="S37" s="911"/>
      <c r="T37" s="911"/>
      <c r="U37" s="911"/>
      <c r="V37" s="912"/>
      <c r="W37" s="422"/>
      <c r="X37" s="424"/>
      <c r="Y37" s="129"/>
      <c r="Z37" s="439" t="b">
        <v>0</v>
      </c>
      <c r="AA37" s="129"/>
      <c r="AB37" s="540"/>
      <c r="AC37" s="541"/>
      <c r="AD37" s="129"/>
      <c r="AE37" s="540"/>
      <c r="AF37" s="541"/>
      <c r="AH37" s="251"/>
      <c r="AI37" s="252"/>
      <c r="AJ37" s="252"/>
      <c r="AK37" s="253"/>
    </row>
    <row r="38" spans="1:37" ht="19.5" customHeight="1" x14ac:dyDescent="0.25">
      <c r="A38" s="115"/>
      <c r="B38" s="116"/>
      <c r="C38" s="435"/>
      <c r="D38" s="105">
        <f>[1]BEGINBLAD!D37</f>
        <v>0</v>
      </c>
      <c r="E38" s="106">
        <v>32</v>
      </c>
      <c r="F38" s="421">
        <f>BEGINBLAD!C36</f>
        <v>0</v>
      </c>
      <c r="G38" s="911"/>
      <c r="H38" s="911"/>
      <c r="I38" s="911"/>
      <c r="J38" s="911"/>
      <c r="K38" s="911"/>
      <c r="L38" s="911"/>
      <c r="M38" s="911"/>
      <c r="N38" s="911"/>
      <c r="O38" s="911"/>
      <c r="P38" s="911"/>
      <c r="Q38" s="911"/>
      <c r="R38" s="911"/>
      <c r="S38" s="911"/>
      <c r="T38" s="911"/>
      <c r="U38" s="911"/>
      <c r="V38" s="912"/>
      <c r="W38" s="113"/>
      <c r="X38" s="424"/>
      <c r="Y38" s="129"/>
      <c r="Z38" s="439" t="b">
        <v>0</v>
      </c>
      <c r="AA38" s="129"/>
      <c r="AB38" s="540"/>
      <c r="AC38" s="541"/>
      <c r="AD38" s="129"/>
      <c r="AE38" s="540"/>
      <c r="AF38" s="541"/>
      <c r="AH38" s="251"/>
      <c r="AI38" s="252"/>
      <c r="AJ38" s="252"/>
      <c r="AK38" s="253"/>
    </row>
    <row r="39" spans="1:37" ht="19.5" customHeight="1" x14ac:dyDescent="0.25">
      <c r="A39" s="115"/>
      <c r="B39" s="116"/>
      <c r="C39" s="435"/>
      <c r="D39" s="105">
        <f>[1]BEGINBLAD!D38</f>
        <v>0</v>
      </c>
      <c r="E39" s="106">
        <v>33</v>
      </c>
      <c r="F39" s="421">
        <f>BEGINBLAD!C37</f>
        <v>0</v>
      </c>
      <c r="G39" s="911"/>
      <c r="H39" s="911"/>
      <c r="I39" s="911"/>
      <c r="J39" s="911"/>
      <c r="K39" s="911"/>
      <c r="L39" s="911"/>
      <c r="M39" s="911"/>
      <c r="N39" s="911"/>
      <c r="O39" s="911"/>
      <c r="P39" s="911"/>
      <c r="Q39" s="911"/>
      <c r="R39" s="911"/>
      <c r="S39" s="911"/>
      <c r="T39" s="911"/>
      <c r="U39" s="911"/>
      <c r="V39" s="912"/>
      <c r="W39" s="422"/>
      <c r="X39" s="424"/>
      <c r="Y39" s="129"/>
      <c r="Z39" s="439" t="b">
        <v>0</v>
      </c>
      <c r="AA39" s="129"/>
      <c r="AB39" s="540"/>
      <c r="AC39" s="541"/>
      <c r="AD39" s="129"/>
      <c r="AE39" s="540"/>
      <c r="AF39" s="541"/>
      <c r="AH39" s="251"/>
      <c r="AI39" s="252"/>
      <c r="AJ39" s="252"/>
      <c r="AK39" s="253"/>
    </row>
    <row r="40" spans="1:37" ht="19.5" customHeight="1" x14ac:dyDescent="0.25">
      <c r="A40" s="115"/>
      <c r="B40" s="116"/>
      <c r="C40" s="435"/>
      <c r="D40" s="105">
        <f>[1]BEGINBLAD!D39</f>
        <v>0</v>
      </c>
      <c r="E40" s="106">
        <v>34</v>
      </c>
      <c r="F40" s="421">
        <f>BEGINBLAD!C38</f>
        <v>0</v>
      </c>
      <c r="G40" s="911"/>
      <c r="H40" s="911"/>
      <c r="I40" s="911"/>
      <c r="J40" s="911"/>
      <c r="K40" s="911"/>
      <c r="L40" s="911"/>
      <c r="M40" s="911"/>
      <c r="N40" s="911"/>
      <c r="O40" s="911"/>
      <c r="P40" s="911"/>
      <c r="Q40" s="911"/>
      <c r="R40" s="911"/>
      <c r="S40" s="911"/>
      <c r="T40" s="911"/>
      <c r="U40" s="911"/>
      <c r="V40" s="912"/>
      <c r="W40" s="422"/>
      <c r="X40" s="424"/>
      <c r="Y40" s="129"/>
      <c r="Z40" s="439" t="b">
        <v>0</v>
      </c>
      <c r="AA40" s="129"/>
      <c r="AB40" s="540"/>
      <c r="AC40" s="541"/>
      <c r="AD40" s="129"/>
      <c r="AE40" s="540"/>
      <c r="AF40" s="541"/>
      <c r="AH40" s="251"/>
      <c r="AI40" s="252"/>
      <c r="AJ40" s="252"/>
      <c r="AK40" s="253"/>
    </row>
    <row r="41" spans="1:37" ht="19.5" customHeight="1" x14ac:dyDescent="0.25">
      <c r="A41" s="115"/>
      <c r="B41" s="116"/>
      <c r="C41" s="435"/>
      <c r="D41" s="105">
        <f>[1]BEGINBLAD!D40</f>
        <v>0</v>
      </c>
      <c r="E41" s="106">
        <v>35</v>
      </c>
      <c r="F41" s="421">
        <f>BEGINBLAD!C39</f>
        <v>0</v>
      </c>
      <c r="G41" s="911"/>
      <c r="H41" s="911"/>
      <c r="I41" s="911"/>
      <c r="J41" s="911"/>
      <c r="K41" s="911"/>
      <c r="L41" s="911"/>
      <c r="M41" s="911"/>
      <c r="N41" s="911"/>
      <c r="O41" s="911"/>
      <c r="P41" s="911"/>
      <c r="Q41" s="911"/>
      <c r="R41" s="911"/>
      <c r="S41" s="911"/>
      <c r="T41" s="911"/>
      <c r="U41" s="911"/>
      <c r="V41" s="912"/>
      <c r="W41" s="422"/>
      <c r="X41" s="424"/>
      <c r="Y41" s="129"/>
      <c r="Z41" s="439" t="b">
        <v>0</v>
      </c>
      <c r="AA41" s="129"/>
      <c r="AB41" s="540"/>
      <c r="AC41" s="541"/>
      <c r="AD41" s="129"/>
      <c r="AE41" s="540"/>
      <c r="AF41" s="541"/>
      <c r="AH41" s="251"/>
      <c r="AI41" s="252"/>
      <c r="AJ41" s="252"/>
      <c r="AK41" s="253"/>
    </row>
    <row r="42" spans="1:37" s="103" customFormat="1" ht="19.5" customHeight="1" thickBot="1" x14ac:dyDescent="0.3">
      <c r="A42" s="115"/>
      <c r="B42" s="116"/>
      <c r="C42" s="435"/>
      <c r="D42" s="105">
        <f>[1]BEGINBLAD!D41</f>
        <v>0</v>
      </c>
      <c r="E42" s="142">
        <v>36</v>
      </c>
      <c r="F42" s="396">
        <f>BEGINBLAD!C40</f>
        <v>0</v>
      </c>
      <c r="G42" s="935"/>
      <c r="H42" s="935"/>
      <c r="I42" s="935"/>
      <c r="J42" s="935"/>
      <c r="K42" s="935"/>
      <c r="L42" s="935"/>
      <c r="M42" s="935"/>
      <c r="N42" s="935"/>
      <c r="O42" s="935"/>
      <c r="P42" s="935"/>
      <c r="Q42" s="935"/>
      <c r="R42" s="935"/>
      <c r="S42" s="935"/>
      <c r="T42" s="935"/>
      <c r="U42" s="935"/>
      <c r="V42" s="936"/>
      <c r="W42" s="422"/>
      <c r="X42" s="425"/>
      <c r="Y42" s="129"/>
      <c r="Z42" s="439" t="b">
        <v>0</v>
      </c>
      <c r="AA42" s="129"/>
      <c r="AB42" s="542"/>
      <c r="AC42" s="543"/>
      <c r="AD42" s="129"/>
      <c r="AE42" s="542"/>
      <c r="AF42" s="543"/>
      <c r="AH42" s="255"/>
      <c r="AI42" s="256"/>
      <c r="AJ42" s="256"/>
      <c r="AK42" s="257"/>
    </row>
    <row r="43" spans="1:37" ht="19.5" customHeight="1" thickBot="1" x14ac:dyDescent="0.35">
      <c r="A43" s="148"/>
      <c r="B43" s="149"/>
      <c r="C43" s="408" t="s">
        <v>258</v>
      </c>
      <c r="D43" s="934" t="s">
        <v>259</v>
      </c>
      <c r="E43" s="934"/>
      <c r="F43" s="934"/>
      <c r="G43" s="429"/>
      <c r="H43" s="934" t="s">
        <v>7</v>
      </c>
      <c r="I43" s="934"/>
      <c r="J43" s="934"/>
      <c r="K43" s="934"/>
      <c r="L43" s="934"/>
      <c r="M43" s="934"/>
      <c r="N43" s="934"/>
      <c r="O43" s="934"/>
      <c r="P43" s="934"/>
      <c r="Q43" s="934"/>
      <c r="R43" s="934"/>
      <c r="S43" s="934"/>
      <c r="T43" s="934"/>
      <c r="U43" s="934"/>
      <c r="V43" s="934"/>
      <c r="W43" s="934"/>
      <c r="X43" s="934"/>
      <c r="Y43" s="129"/>
      <c r="Z43" s="398"/>
      <c r="AA43" s="398"/>
      <c r="AB43" s="398"/>
      <c r="AC43" s="398"/>
      <c r="AD43" s="398"/>
      <c r="AE43" s="398"/>
      <c r="AF43" s="398"/>
    </row>
    <row r="44" spans="1:37" ht="19.5" customHeight="1" x14ac:dyDescent="0.25">
      <c r="A44" s="399"/>
      <c r="B44" s="400"/>
      <c r="C44" s="426" t="s">
        <v>73</v>
      </c>
      <c r="D44" s="919"/>
      <c r="E44" s="919"/>
      <c r="F44" s="920"/>
      <c r="G44" s="430"/>
      <c r="H44" s="921"/>
      <c r="I44" s="922"/>
      <c r="J44" s="922"/>
      <c r="K44" s="922"/>
      <c r="L44" s="922"/>
      <c r="M44" s="922"/>
      <c r="N44" s="922"/>
      <c r="O44" s="922"/>
      <c r="P44" s="922"/>
      <c r="Q44" s="922"/>
      <c r="R44" s="922"/>
      <c r="S44" s="922"/>
      <c r="T44" s="922"/>
      <c r="U44" s="922"/>
      <c r="V44" s="922"/>
      <c r="W44" s="922"/>
      <c r="X44" s="923"/>
      <c r="Y44" s="129"/>
      <c r="Z44" s="398"/>
      <c r="AA44" s="398"/>
      <c r="AB44" s="398"/>
      <c r="AC44" s="398"/>
      <c r="AD44" s="398"/>
      <c r="AE44" s="398"/>
      <c r="AF44" s="398"/>
    </row>
    <row r="45" spans="1:37" ht="19.5" customHeight="1" x14ac:dyDescent="0.25">
      <c r="A45" s="399"/>
      <c r="B45" s="401"/>
      <c r="C45" s="427" t="s">
        <v>74</v>
      </c>
      <c r="D45" s="930"/>
      <c r="E45" s="930"/>
      <c r="F45" s="931"/>
      <c r="G45" s="430"/>
      <c r="H45" s="924"/>
      <c r="I45" s="925"/>
      <c r="J45" s="925"/>
      <c r="K45" s="925"/>
      <c r="L45" s="925"/>
      <c r="M45" s="925"/>
      <c r="N45" s="925"/>
      <c r="O45" s="925"/>
      <c r="P45" s="925"/>
      <c r="Q45" s="925"/>
      <c r="R45" s="925"/>
      <c r="S45" s="925"/>
      <c r="T45" s="925"/>
      <c r="U45" s="925"/>
      <c r="V45" s="925"/>
      <c r="W45" s="925"/>
      <c r="X45" s="926"/>
      <c r="Y45" s="129"/>
      <c r="Z45" s="398"/>
      <c r="AA45" s="398"/>
      <c r="AB45" s="398"/>
      <c r="AC45" s="398"/>
      <c r="AD45" s="398"/>
      <c r="AE45" s="398"/>
      <c r="AF45" s="398"/>
    </row>
    <row r="46" spans="1:37" ht="19.5" customHeight="1" x14ac:dyDescent="0.25">
      <c r="A46" s="399"/>
      <c r="B46" s="401"/>
      <c r="C46" s="427" t="s">
        <v>75</v>
      </c>
      <c r="D46" s="930"/>
      <c r="E46" s="930"/>
      <c r="F46" s="931"/>
      <c r="G46" s="430"/>
      <c r="H46" s="924"/>
      <c r="I46" s="925"/>
      <c r="J46" s="925"/>
      <c r="K46" s="925"/>
      <c r="L46" s="925"/>
      <c r="M46" s="925"/>
      <c r="N46" s="925"/>
      <c r="O46" s="925"/>
      <c r="P46" s="925"/>
      <c r="Q46" s="925"/>
      <c r="R46" s="925"/>
      <c r="S46" s="925"/>
      <c r="T46" s="925"/>
      <c r="U46" s="925"/>
      <c r="V46" s="925"/>
      <c r="W46" s="925"/>
      <c r="X46" s="926"/>
      <c r="Y46" s="129"/>
      <c r="Z46" s="398"/>
      <c r="AA46" s="398"/>
      <c r="AB46" s="398"/>
      <c r="AC46" s="398"/>
      <c r="AD46" s="398"/>
      <c r="AE46" s="398"/>
      <c r="AF46" s="398"/>
    </row>
    <row r="47" spans="1:37" ht="19.5" customHeight="1" x14ac:dyDescent="0.25">
      <c r="A47" s="399"/>
      <c r="B47" s="401"/>
      <c r="C47" s="427" t="s">
        <v>76</v>
      </c>
      <c r="D47" s="930"/>
      <c r="E47" s="930"/>
      <c r="F47" s="931"/>
      <c r="G47" s="430"/>
      <c r="H47" s="924"/>
      <c r="I47" s="925"/>
      <c r="J47" s="925"/>
      <c r="K47" s="925"/>
      <c r="L47" s="925"/>
      <c r="M47" s="925"/>
      <c r="N47" s="925"/>
      <c r="O47" s="925"/>
      <c r="P47" s="925"/>
      <c r="Q47" s="925"/>
      <c r="R47" s="925"/>
      <c r="S47" s="925"/>
      <c r="T47" s="925"/>
      <c r="U47" s="925"/>
      <c r="V47" s="925"/>
      <c r="W47" s="925"/>
      <c r="X47" s="926"/>
      <c r="Y47" s="129"/>
      <c r="Z47" s="398"/>
      <c r="AA47" s="398"/>
      <c r="AB47" s="398"/>
      <c r="AC47" s="398"/>
      <c r="AD47" s="398"/>
      <c r="AE47" s="398"/>
      <c r="AF47" s="398"/>
    </row>
    <row r="48" spans="1:37" ht="19.5" customHeight="1" thickBot="1" x14ac:dyDescent="0.3">
      <c r="A48" s="399"/>
      <c r="B48" s="401"/>
      <c r="C48" s="428" t="s">
        <v>77</v>
      </c>
      <c r="D48" s="932"/>
      <c r="E48" s="932"/>
      <c r="F48" s="933"/>
      <c r="G48" s="430"/>
      <c r="H48" s="927"/>
      <c r="I48" s="928"/>
      <c r="J48" s="928"/>
      <c r="K48" s="928"/>
      <c r="L48" s="928"/>
      <c r="M48" s="928"/>
      <c r="N48" s="928"/>
      <c r="O48" s="928"/>
      <c r="P48" s="928"/>
      <c r="Q48" s="928"/>
      <c r="R48" s="928"/>
      <c r="S48" s="928"/>
      <c r="T48" s="928"/>
      <c r="U48" s="928"/>
      <c r="V48" s="928"/>
      <c r="W48" s="928"/>
      <c r="X48" s="929"/>
      <c r="Y48" s="129"/>
      <c r="Z48" s="129"/>
      <c r="AA48" s="129"/>
      <c r="AB48" s="129"/>
      <c r="AC48" s="129"/>
      <c r="AD48" s="129"/>
      <c r="AE48" s="129"/>
      <c r="AF48" s="129"/>
    </row>
    <row r="49" spans="2:32" x14ac:dyDescent="0.25">
      <c r="B49" s="151"/>
      <c r="C49" s="92"/>
      <c r="D49" s="397"/>
      <c r="M49" s="129"/>
      <c r="N49" s="129"/>
      <c r="O49" s="129"/>
      <c r="P49" s="129"/>
      <c r="Q49" s="129"/>
      <c r="R49" s="129"/>
      <c r="S49" s="129"/>
      <c r="Y49" s="129"/>
      <c r="Z49" s="129"/>
      <c r="AA49" s="129"/>
      <c r="AB49" s="129"/>
      <c r="AC49" s="129"/>
      <c r="AD49" s="129"/>
      <c r="AE49" s="129"/>
      <c r="AF49" s="129"/>
    </row>
    <row r="50" spans="2:32" x14ac:dyDescent="0.25">
      <c r="D50" s="397"/>
      <c r="E50" s="397"/>
      <c r="F50" s="402"/>
      <c r="G50" s="403" t="s">
        <v>249</v>
      </c>
      <c r="H50" s="403"/>
      <c r="I50" s="404"/>
      <c r="J50" s="403"/>
      <c r="K50" s="403"/>
      <c r="L50" s="403"/>
      <c r="M50" s="404"/>
      <c r="N50" s="404"/>
      <c r="O50" s="393"/>
      <c r="P50" s="393"/>
      <c r="Q50" s="393"/>
      <c r="R50" s="393"/>
      <c r="S50" s="393"/>
      <c r="Y50" s="129"/>
      <c r="Z50" s="129"/>
      <c r="AA50" s="129"/>
      <c r="AB50" s="129"/>
      <c r="AC50" s="129"/>
      <c r="AD50" s="129"/>
      <c r="AE50" s="129"/>
      <c r="AF50" s="129"/>
    </row>
    <row r="51" spans="2:32" x14ac:dyDescent="0.25">
      <c r="D51" s="397"/>
      <c r="E51" s="397"/>
      <c r="F51" s="405"/>
      <c r="G51" s="403" t="s">
        <v>248</v>
      </c>
      <c r="H51" s="403"/>
      <c r="I51" s="404"/>
      <c r="J51" s="403"/>
      <c r="K51" s="403"/>
      <c r="L51" s="403"/>
      <c r="M51" s="404"/>
      <c r="N51" s="404"/>
      <c r="O51" s="406"/>
      <c r="P51" s="406"/>
      <c r="Q51" s="406"/>
      <c r="R51" s="406"/>
      <c r="S51" s="406"/>
      <c r="Y51" s="129"/>
      <c r="Z51" s="129"/>
      <c r="AA51" s="129"/>
      <c r="AB51" s="129"/>
      <c r="AC51" s="129"/>
      <c r="AD51" s="129"/>
      <c r="AE51" s="129"/>
      <c r="AF51" s="129"/>
    </row>
    <row r="52" spans="2:32" x14ac:dyDescent="0.25">
      <c r="D52" s="397"/>
      <c r="E52" s="397"/>
      <c r="F52" s="406"/>
      <c r="G52" s="403" t="s">
        <v>245</v>
      </c>
      <c r="H52" s="403"/>
      <c r="I52" s="404"/>
      <c r="J52" s="403"/>
      <c r="K52" s="403"/>
      <c r="L52" s="403"/>
      <c r="M52" s="404"/>
      <c r="N52" s="404"/>
      <c r="O52" s="406">
        <v>0.25</v>
      </c>
      <c r="P52" s="406"/>
      <c r="Q52" s="406"/>
      <c r="R52" s="406"/>
      <c r="S52" s="406"/>
      <c r="Y52" s="129"/>
      <c r="Z52" s="129"/>
      <c r="AA52" s="129"/>
      <c r="AB52" s="129"/>
      <c r="AC52" s="129"/>
      <c r="AD52" s="129"/>
      <c r="AE52" s="129"/>
      <c r="AF52" s="129"/>
    </row>
    <row r="53" spans="2:32" x14ac:dyDescent="0.25">
      <c r="D53" s="397"/>
      <c r="E53" s="397"/>
      <c r="F53" s="407"/>
      <c r="G53" s="403" t="s">
        <v>246</v>
      </c>
      <c r="H53" s="403"/>
      <c r="I53" s="404"/>
      <c r="J53" s="403"/>
      <c r="K53" s="403"/>
      <c r="L53" s="403"/>
      <c r="M53" s="404"/>
      <c r="N53" s="404"/>
      <c r="O53" s="406">
        <v>0.15</v>
      </c>
      <c r="P53" s="406"/>
      <c r="Q53" s="406"/>
      <c r="R53" s="406"/>
      <c r="S53" s="406"/>
      <c r="Y53" s="129"/>
      <c r="Z53" s="129"/>
      <c r="AA53" s="129"/>
      <c r="AB53" s="129"/>
      <c r="AC53" s="129"/>
      <c r="AD53" s="129"/>
      <c r="AE53" s="129"/>
      <c r="AF53" s="129"/>
    </row>
    <row r="54" spans="2:32" x14ac:dyDescent="0.25">
      <c r="D54" s="397"/>
      <c r="E54" s="397"/>
      <c r="F54" s="407"/>
      <c r="G54" s="403" t="s">
        <v>247</v>
      </c>
      <c r="H54" s="403"/>
      <c r="I54" s="404"/>
      <c r="J54" s="403"/>
      <c r="K54" s="403"/>
      <c r="L54" s="403"/>
      <c r="M54" s="404"/>
      <c r="N54" s="404"/>
      <c r="O54" s="406">
        <v>0.1</v>
      </c>
      <c r="P54" s="406"/>
      <c r="Q54" s="406"/>
      <c r="R54" s="406"/>
      <c r="S54" s="406"/>
      <c r="Y54" s="129"/>
      <c r="Z54" s="129"/>
      <c r="AA54" s="129"/>
      <c r="AB54" s="129"/>
      <c r="AC54" s="129"/>
      <c r="AD54" s="129"/>
      <c r="AE54" s="129"/>
      <c r="AF54" s="129"/>
    </row>
    <row r="55" spans="2:32" x14ac:dyDescent="0.25">
      <c r="D55" s="397"/>
      <c r="E55" s="397"/>
      <c r="F55" s="406"/>
      <c r="G55" s="403" t="s">
        <v>260</v>
      </c>
      <c r="H55" s="403"/>
      <c r="I55" s="404"/>
      <c r="J55" s="403"/>
      <c r="K55" s="403"/>
      <c r="L55" s="403"/>
      <c r="M55" s="404"/>
      <c r="N55" s="404"/>
      <c r="O55" s="406">
        <v>0.15</v>
      </c>
      <c r="P55" s="406"/>
      <c r="Q55" s="406"/>
      <c r="R55" s="406"/>
      <c r="S55" s="406"/>
      <c r="Y55" s="129"/>
      <c r="Z55" s="129"/>
      <c r="AA55" s="129"/>
      <c r="AB55" s="129"/>
      <c r="AC55" s="129"/>
      <c r="AD55" s="129"/>
      <c r="AE55" s="129"/>
      <c r="AF55" s="129"/>
    </row>
    <row r="56" spans="2:32" x14ac:dyDescent="0.25">
      <c r="D56" s="397"/>
      <c r="E56" s="397"/>
      <c r="F56" s="406"/>
      <c r="G56" s="403" t="s">
        <v>261</v>
      </c>
      <c r="H56" s="403"/>
      <c r="I56" s="404"/>
      <c r="J56" s="403"/>
      <c r="K56" s="403"/>
      <c r="L56" s="403"/>
      <c r="M56" s="404"/>
      <c r="N56" s="404"/>
      <c r="O56" s="406">
        <v>0.1</v>
      </c>
      <c r="P56" s="406"/>
      <c r="Q56" s="406"/>
      <c r="R56" s="406"/>
      <c r="S56" s="406"/>
      <c r="Y56" s="129"/>
      <c r="Z56" s="129"/>
      <c r="AA56" s="129"/>
      <c r="AB56" s="129"/>
      <c r="AC56" s="129"/>
      <c r="AD56" s="129"/>
      <c r="AE56" s="129"/>
      <c r="AF56" s="129"/>
    </row>
    <row r="57" spans="2:32" x14ac:dyDescent="0.25">
      <c r="D57" s="397"/>
      <c r="E57" s="397"/>
      <c r="F57" s="397"/>
      <c r="G57" s="408"/>
      <c r="H57" s="408"/>
      <c r="I57" s="408"/>
      <c r="J57" s="133"/>
      <c r="K57" s="133"/>
      <c r="L57" s="133"/>
      <c r="M57" s="133"/>
      <c r="N57" s="133"/>
      <c r="O57" s="133"/>
      <c r="P57" s="133"/>
      <c r="Q57" s="133"/>
      <c r="R57" s="133"/>
      <c r="S57" s="133"/>
      <c r="Y57" s="129"/>
      <c r="Z57" s="129"/>
      <c r="AA57" s="129"/>
      <c r="AB57" s="129"/>
      <c r="AC57" s="129"/>
      <c r="AD57" s="129"/>
      <c r="AE57" s="129"/>
      <c r="AF57" s="129"/>
    </row>
    <row r="58" spans="2:32" x14ac:dyDescent="0.25">
      <c r="D58" s="397"/>
      <c r="E58" s="397"/>
      <c r="F58" s="397"/>
      <c r="G58" s="408"/>
      <c r="H58" s="408"/>
      <c r="I58" s="408"/>
      <c r="J58" s="133"/>
      <c r="K58" s="133"/>
      <c r="L58" s="133"/>
      <c r="M58" s="133"/>
      <c r="N58" s="133"/>
      <c r="O58" s="133"/>
      <c r="P58" s="133"/>
      <c r="Q58" s="133"/>
      <c r="R58" s="133"/>
      <c r="S58" s="133"/>
      <c r="Y58" s="129"/>
      <c r="Z58" s="129"/>
      <c r="AA58" s="129"/>
      <c r="AB58" s="129"/>
      <c r="AC58" s="129"/>
      <c r="AD58" s="129"/>
      <c r="AE58" s="129"/>
      <c r="AF58" s="129"/>
    </row>
    <row r="59" spans="2:32" x14ac:dyDescent="0.25">
      <c r="D59" s="397"/>
      <c r="E59" s="397"/>
      <c r="F59" s="397"/>
      <c r="G59" s="408"/>
      <c r="H59" s="408"/>
      <c r="I59" s="408"/>
      <c r="J59" s="129"/>
      <c r="K59" s="129"/>
      <c r="L59" s="129"/>
      <c r="M59" s="129"/>
      <c r="N59" s="129"/>
      <c r="O59" s="129"/>
      <c r="P59" s="129"/>
      <c r="Q59" s="129"/>
      <c r="R59" s="129"/>
      <c r="S59" s="129"/>
      <c r="Y59" s="129"/>
      <c r="Z59" s="129"/>
      <c r="AA59" s="129"/>
      <c r="AB59" s="129"/>
      <c r="AC59" s="129"/>
      <c r="AD59" s="129"/>
      <c r="AE59" s="129"/>
      <c r="AF59" s="129"/>
    </row>
    <row r="60" spans="2:32" x14ac:dyDescent="0.25">
      <c r="E60" s="92"/>
      <c r="F60" s="92"/>
      <c r="J60" s="129"/>
      <c r="K60" s="129"/>
      <c r="L60" s="129"/>
      <c r="M60" s="129"/>
      <c r="N60" s="129"/>
      <c r="O60" s="129"/>
      <c r="P60" s="129"/>
      <c r="Q60" s="129"/>
      <c r="R60" s="129"/>
      <c r="S60" s="129"/>
      <c r="Y60" s="129"/>
      <c r="Z60" s="129"/>
      <c r="AA60" s="129"/>
      <c r="AB60" s="129"/>
      <c r="AC60" s="129"/>
      <c r="AD60" s="129"/>
      <c r="AE60" s="129"/>
      <c r="AF60" s="129"/>
    </row>
    <row r="61" spans="2:32" x14ac:dyDescent="0.25">
      <c r="E61" s="92"/>
      <c r="F61" s="92"/>
      <c r="J61" s="129"/>
      <c r="K61" s="129"/>
      <c r="L61" s="129"/>
      <c r="M61" s="129"/>
      <c r="N61" s="129"/>
      <c r="O61" s="129"/>
      <c r="P61" s="129"/>
      <c r="Q61" s="129"/>
      <c r="R61" s="129"/>
      <c r="S61" s="129"/>
      <c r="Y61" s="129"/>
      <c r="Z61" s="129"/>
      <c r="AA61" s="129"/>
      <c r="AB61" s="129"/>
      <c r="AC61" s="129"/>
      <c r="AD61" s="129"/>
      <c r="AE61" s="129"/>
      <c r="AF61" s="129"/>
    </row>
    <row r="62" spans="2:32" x14ac:dyDescent="0.25">
      <c r="E62" s="92"/>
      <c r="F62" s="92"/>
      <c r="J62" s="129"/>
      <c r="K62" s="129"/>
      <c r="L62" s="129"/>
      <c r="M62" s="129"/>
      <c r="N62" s="129"/>
      <c r="O62" s="129"/>
      <c r="P62" s="129"/>
      <c r="Q62" s="129"/>
      <c r="R62" s="129"/>
      <c r="S62" s="129"/>
      <c r="Y62" s="129"/>
      <c r="Z62" s="129"/>
      <c r="AA62" s="129"/>
      <c r="AB62" s="129"/>
      <c r="AC62" s="129"/>
      <c r="AD62" s="129"/>
      <c r="AE62" s="129"/>
      <c r="AF62" s="129"/>
    </row>
    <row r="63" spans="2:32" x14ac:dyDescent="0.25">
      <c r="E63" s="92"/>
      <c r="F63" s="92"/>
      <c r="J63" s="129"/>
      <c r="K63" s="129"/>
      <c r="L63" s="129"/>
      <c r="M63" s="129"/>
      <c r="N63" s="129"/>
      <c r="O63" s="129"/>
      <c r="P63" s="129"/>
      <c r="Q63" s="129"/>
      <c r="R63" s="129"/>
      <c r="S63" s="129"/>
      <c r="Y63" s="129"/>
      <c r="Z63" s="129"/>
      <c r="AA63" s="129"/>
      <c r="AB63" s="129"/>
      <c r="AC63" s="129"/>
      <c r="AD63" s="129"/>
      <c r="AE63" s="129"/>
      <c r="AF63" s="129"/>
    </row>
    <row r="64" spans="2:32" x14ac:dyDescent="0.25">
      <c r="E64" s="92"/>
      <c r="F64" s="92"/>
      <c r="K64" s="129"/>
      <c r="L64" s="129"/>
      <c r="M64" s="129"/>
      <c r="N64" s="129"/>
      <c r="O64" s="129"/>
      <c r="P64" s="129"/>
      <c r="Q64" s="129"/>
      <c r="R64" s="129"/>
      <c r="S64" s="129"/>
      <c r="T64" s="129"/>
      <c r="U64" s="129"/>
      <c r="V64" s="129"/>
      <c r="W64" s="129"/>
      <c r="X64" s="129"/>
      <c r="Y64" s="129"/>
      <c r="Z64" s="129"/>
      <c r="AA64" s="129"/>
      <c r="AB64" s="129"/>
      <c r="AC64" s="129"/>
      <c r="AD64" s="129"/>
      <c r="AE64" s="129"/>
      <c r="AF64" s="129"/>
    </row>
    <row r="65" spans="3:33" x14ac:dyDescent="0.25">
      <c r="E65" s="92"/>
      <c r="F65" s="92"/>
      <c r="K65" s="129"/>
      <c r="L65" s="129"/>
      <c r="M65" s="129"/>
      <c r="N65" s="129"/>
      <c r="O65" s="129"/>
      <c r="P65" s="129"/>
      <c r="Q65" s="129"/>
      <c r="R65" s="129"/>
      <c r="S65" s="129"/>
      <c r="T65" s="129"/>
      <c r="U65" s="129"/>
      <c r="V65" s="129"/>
      <c r="W65" s="129"/>
      <c r="X65" s="129"/>
      <c r="Y65" s="129"/>
      <c r="Z65" s="129"/>
      <c r="AA65" s="129"/>
      <c r="AB65" s="129"/>
      <c r="AC65" s="129"/>
      <c r="AD65" s="129"/>
      <c r="AE65" s="129"/>
      <c r="AF65" s="129"/>
    </row>
    <row r="66" spans="3:33" x14ac:dyDescent="0.25">
      <c r="E66" s="92"/>
      <c r="F66" s="92"/>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409"/>
    </row>
    <row r="67" spans="3:33" ht="13" x14ac:dyDescent="0.3">
      <c r="C67" s="92"/>
      <c r="E67" s="92"/>
      <c r="F67" s="92"/>
      <c r="J67" s="92"/>
      <c r="K67" s="394"/>
      <c r="L67" s="394"/>
      <c r="M67" s="394"/>
      <c r="N67" s="394"/>
      <c r="O67" s="394"/>
      <c r="P67" s="394"/>
      <c r="Q67" s="394"/>
      <c r="R67" s="394"/>
      <c r="S67" s="394"/>
      <c r="T67" s="394"/>
      <c r="U67" s="394"/>
      <c r="V67" s="394"/>
      <c r="W67" s="394"/>
      <c r="X67" s="394"/>
      <c r="Y67" s="129"/>
      <c r="Z67" s="141"/>
      <c r="AA67" s="141"/>
      <c r="AB67" s="141"/>
      <c r="AC67" s="141"/>
      <c r="AD67" s="141"/>
      <c r="AE67" s="131"/>
      <c r="AF67" s="131"/>
      <c r="AG67" s="132"/>
    </row>
    <row r="68" spans="3:33" x14ac:dyDescent="0.25">
      <c r="C68" s="92"/>
      <c r="E68" s="92"/>
      <c r="F68" s="92"/>
      <c r="J68" s="92"/>
      <c r="K68" s="129"/>
      <c r="L68" s="129"/>
      <c r="M68" s="129"/>
      <c r="N68" s="129"/>
      <c r="O68" s="129"/>
      <c r="P68" s="129"/>
      <c r="Q68" s="129"/>
      <c r="R68" s="129"/>
      <c r="S68" s="129"/>
      <c r="T68" s="129"/>
      <c r="U68" s="129"/>
      <c r="V68" s="129"/>
      <c r="W68" s="129"/>
      <c r="X68" s="129"/>
      <c r="Y68" s="129"/>
      <c r="Z68" s="129"/>
      <c r="AA68" s="129"/>
      <c r="AB68" s="129"/>
      <c r="AC68" s="129"/>
      <c r="AD68" s="129"/>
      <c r="AE68" s="129"/>
      <c r="AF68" s="129"/>
    </row>
    <row r="69" spans="3:33" x14ac:dyDescent="0.25">
      <c r="C69" s="92"/>
      <c r="E69" s="92"/>
      <c r="F69" s="92"/>
      <c r="J69" s="92"/>
      <c r="K69" s="129"/>
      <c r="L69" s="129"/>
      <c r="M69" s="129"/>
      <c r="N69" s="129"/>
      <c r="O69" s="129"/>
      <c r="P69" s="129"/>
      <c r="Q69" s="129"/>
      <c r="R69" s="129"/>
      <c r="S69" s="129"/>
      <c r="T69" s="129"/>
      <c r="U69" s="129"/>
      <c r="V69" s="129"/>
      <c r="W69" s="129"/>
      <c r="X69" s="129"/>
      <c r="Y69" s="129"/>
      <c r="Z69" s="129"/>
      <c r="AA69" s="129"/>
      <c r="AB69" s="129"/>
      <c r="AC69" s="129"/>
      <c r="AD69" s="129"/>
      <c r="AE69" s="129"/>
      <c r="AF69" s="129"/>
    </row>
    <row r="70" spans="3:33" x14ac:dyDescent="0.25">
      <c r="K70" s="129"/>
      <c r="L70" s="129"/>
      <c r="M70" s="129"/>
      <c r="N70" s="129"/>
      <c r="O70" s="129"/>
      <c r="P70" s="129"/>
      <c r="Q70" s="129"/>
      <c r="R70" s="129"/>
      <c r="S70" s="129"/>
      <c r="T70" s="129"/>
      <c r="U70" s="129"/>
      <c r="V70" s="129"/>
      <c r="W70" s="129"/>
      <c r="X70" s="129"/>
      <c r="Y70" s="129"/>
      <c r="Z70" s="129"/>
      <c r="AA70" s="129"/>
      <c r="AB70" s="129"/>
      <c r="AC70" s="129"/>
      <c r="AD70" s="129"/>
      <c r="AE70" s="129"/>
      <c r="AF70" s="129"/>
    </row>
    <row r="71" spans="3:33" x14ac:dyDescent="0.25">
      <c r="K71" s="129"/>
      <c r="L71" s="129"/>
      <c r="M71" s="129"/>
      <c r="N71" s="129"/>
      <c r="O71" s="129"/>
      <c r="P71" s="129"/>
      <c r="Q71" s="129"/>
      <c r="R71" s="129"/>
      <c r="S71" s="129"/>
      <c r="T71" s="129"/>
      <c r="U71" s="129"/>
      <c r="V71" s="129"/>
      <c r="W71" s="129"/>
      <c r="X71" s="129"/>
      <c r="Y71" s="129"/>
      <c r="Z71" s="129"/>
      <c r="AA71" s="129"/>
      <c r="AB71" s="129"/>
      <c r="AC71" s="129"/>
      <c r="AD71" s="129"/>
      <c r="AE71" s="129"/>
      <c r="AF71" s="129"/>
    </row>
    <row r="72" spans="3:33" x14ac:dyDescent="0.25">
      <c r="K72" s="129"/>
      <c r="L72" s="129"/>
      <c r="M72" s="129"/>
      <c r="N72" s="129"/>
      <c r="O72" s="129"/>
      <c r="P72" s="129"/>
      <c r="Q72" s="129"/>
      <c r="R72" s="129"/>
      <c r="S72" s="129"/>
      <c r="T72" s="129"/>
      <c r="U72" s="129"/>
      <c r="V72" s="129"/>
      <c r="W72" s="129"/>
      <c r="X72" s="129"/>
      <c r="Y72" s="129"/>
      <c r="Z72" s="129"/>
      <c r="AA72" s="129"/>
      <c r="AB72" s="129"/>
      <c r="AC72" s="129"/>
      <c r="AD72" s="129"/>
      <c r="AE72" s="129"/>
      <c r="AF72" s="129"/>
    </row>
    <row r="73" spans="3:33" x14ac:dyDescent="0.25">
      <c r="K73" s="129"/>
      <c r="L73" s="129"/>
      <c r="M73" s="129"/>
      <c r="N73" s="129"/>
      <c r="O73" s="129"/>
      <c r="P73" s="129"/>
      <c r="Q73" s="129"/>
      <c r="R73" s="129"/>
      <c r="S73" s="129"/>
      <c r="T73" s="129"/>
      <c r="U73" s="129"/>
      <c r="V73" s="129"/>
      <c r="W73" s="129"/>
      <c r="X73" s="129"/>
      <c r="Y73" s="129"/>
      <c r="Z73" s="129"/>
      <c r="AA73" s="129"/>
      <c r="AB73" s="129"/>
      <c r="AC73" s="129"/>
      <c r="AD73" s="129"/>
      <c r="AE73" s="129"/>
      <c r="AF73" s="129"/>
    </row>
    <row r="74" spans="3:33" x14ac:dyDescent="0.25">
      <c r="K74" s="129"/>
      <c r="L74" s="129"/>
      <c r="M74" s="129"/>
      <c r="N74" s="129"/>
      <c r="O74" s="129"/>
      <c r="P74" s="129"/>
      <c r="Q74" s="129"/>
      <c r="R74" s="129"/>
      <c r="S74" s="129"/>
      <c r="T74" s="129"/>
      <c r="U74" s="129"/>
      <c r="V74" s="129"/>
      <c r="W74" s="129"/>
      <c r="X74" s="129"/>
      <c r="Y74" s="129"/>
      <c r="Z74" s="129"/>
      <c r="AA74" s="129"/>
      <c r="AB74" s="129"/>
      <c r="AC74" s="129"/>
      <c r="AD74" s="129"/>
      <c r="AE74" s="129"/>
      <c r="AF74" s="129"/>
    </row>
    <row r="75" spans="3:33" x14ac:dyDescent="0.25">
      <c r="K75" s="129"/>
      <c r="L75" s="129"/>
      <c r="M75" s="129"/>
      <c r="N75" s="129"/>
      <c r="O75" s="129"/>
      <c r="P75" s="129"/>
      <c r="Q75" s="129"/>
      <c r="R75" s="129"/>
      <c r="S75" s="129"/>
      <c r="T75" s="129"/>
      <c r="U75" s="129"/>
      <c r="V75" s="129"/>
      <c r="W75" s="129"/>
      <c r="X75" s="129"/>
      <c r="Y75" s="129"/>
      <c r="Z75" s="129"/>
      <c r="AA75" s="129"/>
      <c r="AB75" s="129"/>
      <c r="AC75" s="129"/>
      <c r="AD75" s="129"/>
      <c r="AE75" s="129"/>
      <c r="AF75" s="129"/>
    </row>
    <row r="76" spans="3:33" x14ac:dyDescent="0.25">
      <c r="K76" s="129"/>
      <c r="L76" s="129"/>
      <c r="M76" s="129"/>
      <c r="N76" s="129"/>
      <c r="O76" s="129"/>
      <c r="P76" s="129"/>
      <c r="Q76" s="129"/>
      <c r="R76" s="129"/>
      <c r="S76" s="129"/>
      <c r="T76" s="129"/>
      <c r="U76" s="129"/>
      <c r="V76" s="129"/>
      <c r="W76" s="129"/>
      <c r="X76" s="129"/>
      <c r="Y76" s="129"/>
      <c r="Z76" s="129"/>
      <c r="AA76" s="129"/>
      <c r="AB76" s="129"/>
      <c r="AC76" s="129"/>
      <c r="AD76" s="129"/>
      <c r="AE76" s="129"/>
      <c r="AF76" s="129"/>
    </row>
    <row r="77" spans="3:33" x14ac:dyDescent="0.25">
      <c r="K77" s="129"/>
      <c r="L77" s="129"/>
      <c r="M77" s="129"/>
      <c r="N77" s="129"/>
      <c r="O77" s="129"/>
      <c r="P77" s="129"/>
      <c r="Q77" s="129"/>
      <c r="R77" s="129"/>
      <c r="S77" s="129"/>
      <c r="T77" s="129"/>
      <c r="U77" s="129"/>
      <c r="V77" s="129"/>
      <c r="W77" s="129"/>
      <c r="X77" s="129"/>
      <c r="Y77" s="129"/>
      <c r="Z77" s="129"/>
      <c r="AA77" s="129"/>
      <c r="AB77" s="129"/>
      <c r="AC77" s="129"/>
      <c r="AD77" s="129"/>
      <c r="AE77" s="129"/>
      <c r="AF77" s="129"/>
    </row>
    <row r="78" spans="3:33" x14ac:dyDescent="0.25">
      <c r="K78" s="129"/>
      <c r="L78" s="129"/>
      <c r="M78" s="129"/>
      <c r="N78" s="129"/>
      <c r="O78" s="129"/>
      <c r="P78" s="129"/>
      <c r="Q78" s="129"/>
      <c r="R78" s="129"/>
      <c r="S78" s="129"/>
      <c r="T78" s="129"/>
      <c r="U78" s="129"/>
      <c r="V78" s="129"/>
      <c r="W78" s="129"/>
      <c r="X78" s="129"/>
      <c r="Y78" s="129"/>
      <c r="Z78" s="129"/>
      <c r="AA78" s="129"/>
      <c r="AB78" s="129"/>
      <c r="AC78" s="129"/>
      <c r="AD78" s="129"/>
      <c r="AE78" s="129"/>
      <c r="AF78" s="129"/>
    </row>
    <row r="79" spans="3:33" x14ac:dyDescent="0.25">
      <c r="K79" s="129"/>
      <c r="L79" s="129"/>
      <c r="M79" s="129"/>
      <c r="N79" s="129"/>
      <c r="O79" s="129"/>
      <c r="P79" s="129"/>
      <c r="Q79" s="129"/>
      <c r="R79" s="129"/>
      <c r="S79" s="129"/>
      <c r="T79" s="129"/>
      <c r="U79" s="129"/>
      <c r="V79" s="129"/>
      <c r="W79" s="129"/>
      <c r="X79" s="129"/>
      <c r="Y79" s="129"/>
      <c r="Z79" s="129"/>
      <c r="AA79" s="129"/>
      <c r="AB79" s="129"/>
      <c r="AC79" s="129"/>
      <c r="AD79" s="129"/>
      <c r="AE79" s="129"/>
      <c r="AF79" s="129"/>
    </row>
    <row r="80" spans="3:33" x14ac:dyDescent="0.25">
      <c r="K80" s="129"/>
      <c r="L80" s="129"/>
      <c r="M80" s="129"/>
      <c r="N80" s="129"/>
      <c r="O80" s="129"/>
      <c r="P80" s="129"/>
      <c r="Q80" s="129"/>
      <c r="R80" s="129"/>
      <c r="S80" s="129"/>
      <c r="T80" s="129"/>
      <c r="U80" s="129"/>
      <c r="V80" s="129"/>
      <c r="W80" s="129"/>
      <c r="X80" s="129"/>
      <c r="Y80" s="129"/>
      <c r="Z80" s="129"/>
      <c r="AA80" s="129"/>
      <c r="AB80" s="129"/>
      <c r="AC80" s="129"/>
      <c r="AD80" s="129"/>
      <c r="AE80" s="129"/>
      <c r="AF80" s="129"/>
    </row>
    <row r="81" spans="2:32" x14ac:dyDescent="0.25">
      <c r="K81" s="129"/>
      <c r="L81" s="129"/>
      <c r="M81" s="129"/>
      <c r="N81" s="129"/>
      <c r="O81" s="129"/>
      <c r="P81" s="129"/>
      <c r="Q81" s="129"/>
      <c r="R81" s="129"/>
      <c r="S81" s="129"/>
      <c r="T81" s="129"/>
      <c r="U81" s="129"/>
      <c r="V81" s="129"/>
      <c r="W81" s="129"/>
      <c r="X81" s="129"/>
      <c r="Y81" s="129"/>
      <c r="Z81" s="129"/>
      <c r="AA81" s="129"/>
      <c r="AB81" s="129"/>
      <c r="AC81" s="129"/>
      <c r="AD81" s="129"/>
      <c r="AE81" s="129"/>
      <c r="AF81" s="129"/>
    </row>
    <row r="82" spans="2:32" x14ac:dyDescent="0.25">
      <c r="K82" s="129"/>
      <c r="L82" s="129"/>
      <c r="M82" s="129"/>
      <c r="N82" s="129"/>
      <c r="O82" s="129"/>
      <c r="P82" s="129"/>
      <c r="Q82" s="129"/>
      <c r="R82" s="129"/>
      <c r="S82" s="129"/>
      <c r="T82" s="129"/>
      <c r="U82" s="129"/>
      <c r="V82" s="129"/>
      <c r="W82" s="129"/>
      <c r="X82" s="129"/>
      <c r="Y82" s="129"/>
      <c r="Z82" s="129"/>
      <c r="AA82" s="129"/>
      <c r="AB82" s="129"/>
      <c r="AC82" s="129"/>
      <c r="AD82" s="129"/>
      <c r="AE82" s="129"/>
      <c r="AF82" s="129"/>
    </row>
    <row r="83" spans="2:32" x14ac:dyDescent="0.25">
      <c r="K83" s="129"/>
      <c r="L83" s="129"/>
      <c r="M83" s="129"/>
      <c r="N83" s="129"/>
      <c r="O83" s="129"/>
      <c r="P83" s="129"/>
      <c r="Q83" s="129"/>
      <c r="R83" s="129"/>
      <c r="S83" s="129"/>
      <c r="T83" s="129"/>
      <c r="U83" s="129"/>
      <c r="V83" s="129"/>
      <c r="W83" s="129"/>
      <c r="X83" s="129"/>
      <c r="Y83" s="129"/>
      <c r="Z83" s="129"/>
      <c r="AA83" s="129"/>
      <c r="AB83" s="129"/>
      <c r="AC83" s="129"/>
      <c r="AD83" s="129"/>
      <c r="AE83" s="129"/>
      <c r="AF83" s="129"/>
    </row>
    <row r="84" spans="2:32" x14ac:dyDescent="0.25">
      <c r="K84" s="129"/>
      <c r="L84" s="129"/>
      <c r="M84" s="129"/>
      <c r="N84" s="129"/>
      <c r="O84" s="129"/>
      <c r="P84" s="129"/>
      <c r="Q84" s="129"/>
      <c r="R84" s="129"/>
      <c r="S84" s="129"/>
      <c r="T84" s="129"/>
      <c r="U84" s="129"/>
      <c r="V84" s="129"/>
      <c r="W84" s="129"/>
      <c r="X84" s="129"/>
      <c r="Y84" s="129"/>
      <c r="Z84" s="129"/>
      <c r="AA84" s="129"/>
      <c r="AB84" s="129"/>
      <c r="AC84" s="129"/>
      <c r="AD84" s="129"/>
      <c r="AE84" s="129"/>
      <c r="AF84" s="129"/>
    </row>
    <row r="85" spans="2:32" x14ac:dyDescent="0.25">
      <c r="B85" s="918" t="s">
        <v>262</v>
      </c>
      <c r="C85" s="918"/>
      <c r="D85" s="410"/>
      <c r="E85" s="437"/>
      <c r="F85" s="437"/>
      <c r="G85" s="411"/>
      <c r="H85" s="411"/>
      <c r="I85" s="411"/>
      <c r="K85" s="129"/>
      <c r="L85" s="129"/>
      <c r="M85" s="129"/>
      <c r="N85" s="129"/>
      <c r="O85" s="129"/>
      <c r="P85" s="129"/>
      <c r="Q85" s="129"/>
      <c r="R85" s="129"/>
      <c r="S85" s="129"/>
      <c r="T85" s="129"/>
      <c r="U85" s="129"/>
      <c r="V85" s="129"/>
      <c r="W85" s="129"/>
      <c r="X85" s="129"/>
      <c r="Y85" s="129"/>
      <c r="Z85" s="129"/>
      <c r="AA85" s="129"/>
      <c r="AB85" s="129"/>
      <c r="AC85" s="129"/>
      <c r="AD85" s="129"/>
      <c r="AE85" s="129"/>
      <c r="AF85" s="129"/>
    </row>
    <row r="86" spans="2:32" x14ac:dyDescent="0.25">
      <c r="K86" s="103"/>
      <c r="L86" s="103"/>
      <c r="M86" s="103"/>
      <c r="N86" s="103"/>
      <c r="O86" s="103"/>
      <c r="P86" s="103"/>
      <c r="Q86" s="103"/>
      <c r="R86" s="103"/>
      <c r="S86" s="103"/>
      <c r="T86" s="103"/>
      <c r="U86" s="103"/>
      <c r="V86" s="103"/>
      <c r="W86" s="103"/>
      <c r="X86" s="103"/>
      <c r="Y86" s="129"/>
      <c r="Z86" s="129"/>
      <c r="AA86" s="129"/>
      <c r="AB86" s="129"/>
      <c r="AC86" s="129"/>
      <c r="AD86" s="129"/>
      <c r="AE86" s="129"/>
      <c r="AF86" s="129"/>
    </row>
    <row r="87" spans="2:32" x14ac:dyDescent="0.25">
      <c r="K87" s="103"/>
      <c r="L87" s="103"/>
      <c r="M87" s="103"/>
      <c r="N87" s="103"/>
      <c r="O87" s="103"/>
      <c r="P87" s="103"/>
      <c r="Q87" s="103"/>
      <c r="R87" s="103"/>
      <c r="S87" s="103"/>
      <c r="T87" s="103"/>
      <c r="U87" s="103"/>
      <c r="V87" s="103"/>
      <c r="W87" s="103"/>
      <c r="X87" s="103"/>
      <c r="Y87" s="129"/>
      <c r="Z87" s="129"/>
      <c r="AA87" s="129"/>
      <c r="AB87" s="129"/>
      <c r="AC87" s="129"/>
      <c r="AD87" s="129"/>
      <c r="AE87" s="129"/>
      <c r="AF87" s="129"/>
    </row>
    <row r="88" spans="2:32" x14ac:dyDescent="0.25">
      <c r="K88" s="103"/>
      <c r="L88" s="103"/>
      <c r="M88" s="103"/>
      <c r="N88" s="103"/>
      <c r="O88" s="103"/>
      <c r="P88" s="103"/>
      <c r="Q88" s="103"/>
      <c r="R88" s="103"/>
      <c r="S88" s="103"/>
      <c r="T88" s="103"/>
      <c r="U88" s="103"/>
      <c r="V88" s="103"/>
      <c r="W88" s="103"/>
      <c r="X88" s="103"/>
      <c r="Y88" s="103"/>
      <c r="Z88" s="129"/>
      <c r="AA88" s="129"/>
      <c r="AB88" s="129"/>
      <c r="AC88" s="129"/>
      <c r="AD88" s="129"/>
      <c r="AE88" s="129"/>
      <c r="AF88" s="129"/>
    </row>
    <row r="89" spans="2:32" x14ac:dyDescent="0.25">
      <c r="K89" s="103"/>
      <c r="L89" s="103"/>
      <c r="M89" s="103"/>
      <c r="N89" s="103"/>
      <c r="O89" s="103"/>
      <c r="P89" s="103"/>
      <c r="Q89" s="103"/>
      <c r="R89" s="103"/>
      <c r="S89" s="103"/>
      <c r="T89" s="103"/>
      <c r="U89" s="103"/>
      <c r="V89" s="103"/>
      <c r="W89" s="103"/>
      <c r="X89" s="103"/>
      <c r="Y89" s="103"/>
      <c r="Z89" s="129"/>
      <c r="AA89" s="129"/>
      <c r="AB89" s="129"/>
      <c r="AC89" s="129"/>
      <c r="AD89" s="129"/>
      <c r="AE89" s="129"/>
      <c r="AF89" s="129"/>
    </row>
    <row r="90" spans="2:32" x14ac:dyDescent="0.25">
      <c r="K90" s="103"/>
      <c r="L90" s="103"/>
      <c r="M90" s="103"/>
      <c r="N90" s="103"/>
      <c r="O90" s="103"/>
      <c r="P90" s="103"/>
      <c r="Q90" s="103"/>
      <c r="R90" s="103"/>
      <c r="S90" s="103"/>
      <c r="T90" s="103"/>
      <c r="U90" s="103"/>
      <c r="V90" s="103"/>
      <c r="W90" s="103"/>
      <c r="X90" s="103"/>
      <c r="Y90" s="103"/>
      <c r="Z90" s="129"/>
      <c r="AA90" s="129"/>
      <c r="AB90" s="129"/>
      <c r="AC90" s="129"/>
      <c r="AD90" s="129"/>
      <c r="AE90" s="129"/>
      <c r="AF90" s="129"/>
    </row>
    <row r="91" spans="2:32" x14ac:dyDescent="0.25">
      <c r="K91" s="103"/>
      <c r="L91" s="103"/>
      <c r="M91" s="103"/>
      <c r="N91" s="103"/>
      <c r="O91" s="103"/>
      <c r="P91" s="103"/>
      <c r="Q91" s="103"/>
      <c r="R91" s="103"/>
      <c r="S91" s="103"/>
      <c r="T91" s="103"/>
      <c r="U91" s="103"/>
      <c r="V91" s="103"/>
      <c r="W91" s="103"/>
      <c r="X91" s="103"/>
      <c r="Y91" s="103"/>
      <c r="Z91" s="129"/>
      <c r="AA91" s="129"/>
      <c r="AB91" s="129"/>
      <c r="AC91" s="129"/>
      <c r="AD91" s="129"/>
      <c r="AE91" s="129"/>
      <c r="AF91" s="129"/>
    </row>
    <row r="92" spans="2:32" x14ac:dyDescent="0.25">
      <c r="Z92" s="409"/>
      <c r="AA92" s="409"/>
      <c r="AB92" s="409"/>
      <c r="AC92" s="409"/>
      <c r="AD92" s="409"/>
      <c r="AE92" s="409"/>
      <c r="AF92" s="409"/>
    </row>
    <row r="93" spans="2:32" x14ac:dyDescent="0.25">
      <c r="Z93" s="409"/>
      <c r="AA93" s="409"/>
      <c r="AB93" s="409"/>
      <c r="AC93" s="409"/>
      <c r="AD93" s="409"/>
      <c r="AE93" s="409"/>
      <c r="AF93" s="409"/>
    </row>
    <row r="94" spans="2:32" x14ac:dyDescent="0.25">
      <c r="Z94" s="409"/>
      <c r="AA94" s="409"/>
      <c r="AB94" s="409"/>
      <c r="AC94" s="409"/>
      <c r="AD94" s="409"/>
      <c r="AE94" s="409"/>
      <c r="AF94" s="409"/>
    </row>
    <row r="95" spans="2:32" x14ac:dyDescent="0.25">
      <c r="Z95" s="409"/>
      <c r="AA95" s="409"/>
      <c r="AB95" s="409"/>
      <c r="AC95" s="409"/>
      <c r="AD95" s="409"/>
      <c r="AE95" s="409"/>
      <c r="AF95" s="409"/>
    </row>
    <row r="96" spans="2:32" x14ac:dyDescent="0.25">
      <c r="Z96" s="409"/>
      <c r="AA96" s="409"/>
      <c r="AB96" s="409"/>
      <c r="AC96" s="409"/>
      <c r="AD96" s="409"/>
      <c r="AE96" s="409"/>
      <c r="AF96" s="409"/>
    </row>
    <row r="97" spans="26:32" x14ac:dyDescent="0.25">
      <c r="Z97" s="409"/>
      <c r="AA97" s="409"/>
      <c r="AB97" s="409"/>
      <c r="AC97" s="409"/>
      <c r="AD97" s="409"/>
      <c r="AE97" s="409"/>
      <c r="AF97" s="409"/>
    </row>
    <row r="98" spans="26:32" x14ac:dyDescent="0.25">
      <c r="Z98" s="409"/>
      <c r="AA98" s="409"/>
      <c r="AB98" s="409"/>
      <c r="AC98" s="409"/>
      <c r="AD98" s="409"/>
      <c r="AE98" s="409"/>
      <c r="AF98" s="409"/>
    </row>
    <row r="99" spans="26:32" x14ac:dyDescent="0.25">
      <c r="Z99" s="409"/>
      <c r="AA99" s="409"/>
      <c r="AB99" s="409"/>
      <c r="AC99" s="409"/>
      <c r="AD99" s="409"/>
      <c r="AE99" s="409"/>
      <c r="AF99" s="409"/>
    </row>
    <row r="100" spans="26:32" x14ac:dyDescent="0.25">
      <c r="Z100" s="409"/>
      <c r="AA100" s="409"/>
      <c r="AB100" s="409"/>
      <c r="AC100" s="409"/>
      <c r="AD100" s="409"/>
      <c r="AE100" s="409"/>
      <c r="AF100" s="409"/>
    </row>
    <row r="101" spans="26:32" x14ac:dyDescent="0.25">
      <c r="Z101" s="409"/>
      <c r="AA101" s="409"/>
      <c r="AB101" s="409"/>
      <c r="AC101" s="409"/>
      <c r="AD101" s="409"/>
      <c r="AE101" s="409"/>
      <c r="AF101" s="409"/>
    </row>
    <row r="102" spans="26:32" x14ac:dyDescent="0.25">
      <c r="Z102" s="409"/>
      <c r="AA102" s="409"/>
      <c r="AB102" s="409"/>
      <c r="AC102" s="409"/>
      <c r="AD102" s="409"/>
      <c r="AE102" s="409"/>
      <c r="AF102" s="409"/>
    </row>
    <row r="103" spans="26:32" x14ac:dyDescent="0.25">
      <c r="Z103" s="409"/>
      <c r="AA103" s="409"/>
      <c r="AB103" s="409"/>
      <c r="AC103" s="409"/>
      <c r="AD103" s="409"/>
      <c r="AE103" s="409"/>
      <c r="AF103" s="409"/>
    </row>
    <row r="104" spans="26:32" x14ac:dyDescent="0.25">
      <c r="Z104" s="409"/>
      <c r="AA104" s="409"/>
      <c r="AB104" s="409"/>
      <c r="AC104" s="409"/>
      <c r="AD104" s="409"/>
      <c r="AE104" s="409"/>
      <c r="AF104" s="409"/>
    </row>
    <row r="105" spans="26:32" x14ac:dyDescent="0.25">
      <c r="Z105" s="409"/>
      <c r="AA105" s="409"/>
      <c r="AB105" s="409"/>
      <c r="AC105" s="409"/>
      <c r="AD105" s="409"/>
      <c r="AE105" s="409"/>
      <c r="AF105" s="409"/>
    </row>
    <row r="106" spans="26:32" x14ac:dyDescent="0.25">
      <c r="Z106" s="409"/>
      <c r="AA106" s="409"/>
      <c r="AB106" s="409"/>
      <c r="AC106" s="409"/>
      <c r="AD106" s="409"/>
      <c r="AE106" s="409"/>
      <c r="AF106" s="409"/>
    </row>
    <row r="107" spans="26:32" x14ac:dyDescent="0.25">
      <c r="Z107" s="409"/>
      <c r="AA107" s="409"/>
      <c r="AB107" s="409"/>
      <c r="AC107" s="409"/>
      <c r="AD107" s="409"/>
      <c r="AE107" s="409"/>
      <c r="AF107" s="409"/>
    </row>
    <row r="108" spans="26:32" x14ac:dyDescent="0.25">
      <c r="Z108" s="409"/>
      <c r="AA108" s="409"/>
      <c r="AB108" s="409"/>
      <c r="AC108" s="409"/>
      <c r="AD108" s="409"/>
      <c r="AE108" s="409"/>
      <c r="AF108" s="409"/>
    </row>
    <row r="109" spans="26:32" x14ac:dyDescent="0.25">
      <c r="Z109" s="409"/>
      <c r="AA109" s="409"/>
      <c r="AB109" s="409"/>
      <c r="AC109" s="409"/>
      <c r="AD109" s="409"/>
      <c r="AE109" s="409"/>
      <c r="AF109" s="409"/>
    </row>
    <row r="110" spans="26:32" x14ac:dyDescent="0.25">
      <c r="Z110" s="409"/>
      <c r="AA110" s="409"/>
      <c r="AB110" s="409"/>
      <c r="AC110" s="409"/>
      <c r="AD110" s="409"/>
      <c r="AE110" s="409"/>
      <c r="AF110" s="409"/>
    </row>
    <row r="111" spans="26:32" x14ac:dyDescent="0.25">
      <c r="Z111" s="409"/>
      <c r="AA111" s="409"/>
      <c r="AB111" s="409"/>
      <c r="AC111" s="409"/>
      <c r="AD111" s="409"/>
      <c r="AE111" s="409"/>
      <c r="AF111" s="409"/>
    </row>
    <row r="112" spans="26:32" x14ac:dyDescent="0.25">
      <c r="Z112" s="409"/>
      <c r="AA112" s="409"/>
      <c r="AB112" s="409"/>
      <c r="AC112" s="409"/>
      <c r="AD112" s="409"/>
      <c r="AE112" s="409"/>
      <c r="AF112" s="409"/>
    </row>
    <row r="113" spans="26:32" x14ac:dyDescent="0.25">
      <c r="Z113" s="409"/>
      <c r="AA113" s="409"/>
      <c r="AB113" s="409"/>
      <c r="AC113" s="409"/>
      <c r="AD113" s="409"/>
      <c r="AE113" s="409"/>
      <c r="AF113" s="409"/>
    </row>
    <row r="114" spans="26:32" x14ac:dyDescent="0.25">
      <c r="Z114" s="409"/>
      <c r="AA114" s="409"/>
      <c r="AB114" s="409"/>
      <c r="AC114" s="409"/>
      <c r="AD114" s="409"/>
      <c r="AE114" s="409"/>
      <c r="AF114" s="409"/>
    </row>
    <row r="115" spans="26:32" x14ac:dyDescent="0.25">
      <c r="Z115" s="409"/>
      <c r="AA115" s="409"/>
      <c r="AB115" s="409"/>
      <c r="AC115" s="409"/>
      <c r="AD115" s="409"/>
      <c r="AE115" s="409"/>
      <c r="AF115" s="409"/>
    </row>
    <row r="116" spans="26:32" x14ac:dyDescent="0.25">
      <c r="Z116" s="409"/>
      <c r="AA116" s="409"/>
      <c r="AB116" s="409"/>
      <c r="AC116" s="409"/>
      <c r="AD116" s="409"/>
      <c r="AE116" s="409"/>
      <c r="AF116" s="409"/>
    </row>
    <row r="117" spans="26:32" x14ac:dyDescent="0.25">
      <c r="Z117" s="409"/>
      <c r="AA117" s="409"/>
      <c r="AB117" s="409"/>
      <c r="AC117" s="409"/>
      <c r="AD117" s="409"/>
      <c r="AE117" s="409"/>
      <c r="AF117" s="409"/>
    </row>
    <row r="118" spans="26:32" x14ac:dyDescent="0.25">
      <c r="Z118" s="409"/>
      <c r="AA118" s="409"/>
      <c r="AB118" s="409"/>
      <c r="AC118" s="409"/>
      <c r="AD118" s="409"/>
      <c r="AE118" s="409"/>
      <c r="AF118" s="409"/>
    </row>
    <row r="119" spans="26:32" x14ac:dyDescent="0.25">
      <c r="Z119" s="409"/>
      <c r="AA119" s="409"/>
      <c r="AB119" s="409"/>
      <c r="AC119" s="409"/>
      <c r="AD119" s="409"/>
      <c r="AE119" s="409"/>
      <c r="AF119" s="409"/>
    </row>
    <row r="120" spans="26:32" x14ac:dyDescent="0.25">
      <c r="Z120" s="409"/>
      <c r="AA120" s="409"/>
      <c r="AB120" s="409"/>
      <c r="AC120" s="409"/>
      <c r="AD120" s="409"/>
      <c r="AE120" s="409"/>
      <c r="AF120" s="409"/>
    </row>
    <row r="121" spans="26:32" x14ac:dyDescent="0.25">
      <c r="Z121" s="409"/>
      <c r="AA121" s="409"/>
      <c r="AB121" s="409"/>
      <c r="AC121" s="409"/>
      <c r="AD121" s="409"/>
      <c r="AE121" s="409"/>
      <c r="AF121" s="409"/>
    </row>
    <row r="122" spans="26:32" x14ac:dyDescent="0.25">
      <c r="Z122" s="409"/>
      <c r="AA122" s="409"/>
      <c r="AB122" s="409"/>
      <c r="AC122" s="409"/>
      <c r="AD122" s="409"/>
      <c r="AE122" s="409"/>
      <c r="AF122" s="409"/>
    </row>
    <row r="123" spans="26:32" x14ac:dyDescent="0.25">
      <c r="Z123" s="409"/>
      <c r="AA123" s="409"/>
      <c r="AB123" s="409"/>
      <c r="AC123" s="409"/>
      <c r="AD123" s="409"/>
      <c r="AE123" s="409"/>
      <c r="AF123" s="409"/>
    </row>
    <row r="124" spans="26:32" x14ac:dyDescent="0.25">
      <c r="Z124" s="409"/>
      <c r="AA124" s="409"/>
      <c r="AB124" s="409"/>
      <c r="AC124" s="409"/>
      <c r="AD124" s="409"/>
      <c r="AE124" s="409"/>
      <c r="AF124" s="409"/>
    </row>
    <row r="125" spans="26:32" x14ac:dyDescent="0.25">
      <c r="Z125" s="409"/>
      <c r="AA125" s="409"/>
      <c r="AB125" s="409"/>
      <c r="AC125" s="409"/>
      <c r="AD125" s="409"/>
      <c r="AE125" s="409"/>
      <c r="AF125" s="409"/>
    </row>
    <row r="126" spans="26:32" x14ac:dyDescent="0.25">
      <c r="Z126" s="409"/>
      <c r="AA126" s="409"/>
      <c r="AB126" s="409"/>
      <c r="AC126" s="409"/>
      <c r="AD126" s="409"/>
      <c r="AE126" s="409"/>
      <c r="AF126" s="409"/>
    </row>
    <row r="127" spans="26:32" x14ac:dyDescent="0.25">
      <c r="Z127" s="409"/>
      <c r="AA127" s="409"/>
      <c r="AB127" s="409"/>
      <c r="AC127" s="409"/>
      <c r="AD127" s="409"/>
      <c r="AE127" s="409"/>
      <c r="AF127" s="409"/>
    </row>
    <row r="128" spans="26:32" x14ac:dyDescent="0.25">
      <c r="Z128" s="409"/>
      <c r="AA128" s="409"/>
      <c r="AB128" s="409"/>
      <c r="AC128" s="409"/>
      <c r="AD128" s="409"/>
      <c r="AE128" s="409"/>
      <c r="AF128" s="409"/>
    </row>
    <row r="129" spans="26:32" x14ac:dyDescent="0.25">
      <c r="Z129" s="409"/>
      <c r="AA129" s="409"/>
      <c r="AB129" s="409"/>
      <c r="AC129" s="409"/>
      <c r="AD129" s="409"/>
      <c r="AE129" s="409"/>
      <c r="AF129" s="409"/>
    </row>
    <row r="130" spans="26:32" x14ac:dyDescent="0.25">
      <c r="Z130" s="409"/>
      <c r="AA130" s="409"/>
      <c r="AB130" s="409"/>
      <c r="AC130" s="409"/>
      <c r="AD130" s="409"/>
      <c r="AE130" s="409"/>
      <c r="AF130" s="409"/>
    </row>
    <row r="131" spans="26:32" x14ac:dyDescent="0.25">
      <c r="Z131" s="409"/>
      <c r="AA131" s="409"/>
      <c r="AB131" s="409"/>
      <c r="AC131" s="409"/>
      <c r="AD131" s="409"/>
      <c r="AE131" s="409"/>
      <c r="AF131" s="409"/>
    </row>
    <row r="132" spans="26:32" x14ac:dyDescent="0.25">
      <c r="Z132" s="409"/>
      <c r="AA132" s="409"/>
      <c r="AB132" s="409"/>
      <c r="AC132" s="409"/>
      <c r="AD132" s="409"/>
      <c r="AE132" s="409"/>
      <c r="AF132" s="409"/>
    </row>
    <row r="133" spans="26:32" x14ac:dyDescent="0.25">
      <c r="Z133" s="409"/>
      <c r="AA133" s="409"/>
      <c r="AB133" s="409"/>
      <c r="AC133" s="409"/>
      <c r="AD133" s="409"/>
      <c r="AE133" s="409"/>
      <c r="AF133" s="409"/>
    </row>
    <row r="134" spans="26:32" x14ac:dyDescent="0.25">
      <c r="Z134" s="409"/>
      <c r="AA134" s="409"/>
      <c r="AB134" s="409"/>
      <c r="AC134" s="409"/>
      <c r="AD134" s="409"/>
      <c r="AE134" s="409"/>
      <c r="AF134" s="409"/>
    </row>
    <row r="135" spans="26:32" x14ac:dyDescent="0.25">
      <c r="Z135" s="409"/>
      <c r="AA135" s="409"/>
      <c r="AB135" s="409"/>
      <c r="AC135" s="409"/>
      <c r="AD135" s="409"/>
      <c r="AE135" s="409"/>
      <c r="AF135" s="409"/>
    </row>
    <row r="136" spans="26:32" x14ac:dyDescent="0.25">
      <c r="Z136" s="409"/>
      <c r="AA136" s="409"/>
      <c r="AB136" s="409"/>
      <c r="AC136" s="409"/>
      <c r="AD136" s="409"/>
      <c r="AE136" s="409"/>
      <c r="AF136" s="409"/>
    </row>
    <row r="137" spans="26:32" x14ac:dyDescent="0.25">
      <c r="Z137" s="409"/>
      <c r="AA137" s="409"/>
      <c r="AB137" s="409"/>
      <c r="AC137" s="409"/>
      <c r="AD137" s="409"/>
      <c r="AE137" s="409"/>
      <c r="AF137" s="409"/>
    </row>
    <row r="138" spans="26:32" x14ac:dyDescent="0.25">
      <c r="Z138" s="409"/>
      <c r="AA138" s="409"/>
      <c r="AB138" s="409"/>
      <c r="AC138" s="409"/>
      <c r="AD138" s="409"/>
      <c r="AE138" s="409"/>
      <c r="AF138" s="409"/>
    </row>
    <row r="139" spans="26:32" x14ac:dyDescent="0.25">
      <c r="Z139" s="409"/>
      <c r="AA139" s="409"/>
      <c r="AB139" s="409"/>
      <c r="AC139" s="409"/>
      <c r="AD139" s="409"/>
      <c r="AE139" s="409"/>
      <c r="AF139" s="409"/>
    </row>
    <row r="140" spans="26:32" x14ac:dyDescent="0.25">
      <c r="Z140" s="409"/>
      <c r="AA140" s="409"/>
      <c r="AB140" s="409"/>
      <c r="AC140" s="409"/>
      <c r="AD140" s="409"/>
      <c r="AE140" s="409"/>
      <c r="AF140" s="409"/>
    </row>
    <row r="141" spans="26:32" x14ac:dyDescent="0.25">
      <c r="Z141" s="409"/>
      <c r="AA141" s="409"/>
      <c r="AB141" s="409"/>
      <c r="AC141" s="409"/>
      <c r="AD141" s="409"/>
      <c r="AE141" s="409"/>
      <c r="AF141" s="409"/>
    </row>
    <row r="142" spans="26:32" x14ac:dyDescent="0.25">
      <c r="Z142" s="409"/>
      <c r="AA142" s="409"/>
      <c r="AB142" s="409"/>
      <c r="AC142" s="409"/>
      <c r="AD142" s="409"/>
      <c r="AE142" s="409"/>
      <c r="AF142" s="409"/>
    </row>
    <row r="143" spans="26:32" x14ac:dyDescent="0.25">
      <c r="Z143" s="409"/>
      <c r="AA143" s="409"/>
      <c r="AB143" s="409"/>
      <c r="AC143" s="409"/>
      <c r="AD143" s="409"/>
      <c r="AE143" s="409"/>
      <c r="AF143" s="409"/>
    </row>
    <row r="144" spans="26:32" x14ac:dyDescent="0.25">
      <c r="Z144" s="409"/>
      <c r="AA144" s="409"/>
      <c r="AB144" s="409"/>
      <c r="AC144" s="409"/>
      <c r="AD144" s="409"/>
      <c r="AE144" s="409"/>
      <c r="AF144" s="409"/>
    </row>
    <row r="145" spans="26:32" x14ac:dyDescent="0.25">
      <c r="Z145" s="409"/>
      <c r="AA145" s="409"/>
      <c r="AB145" s="409"/>
      <c r="AC145" s="409"/>
      <c r="AD145" s="409"/>
      <c r="AE145" s="409"/>
      <c r="AF145" s="409"/>
    </row>
    <row r="146" spans="26:32" x14ac:dyDescent="0.25">
      <c r="Z146" s="409"/>
      <c r="AA146" s="409"/>
      <c r="AB146" s="409"/>
      <c r="AC146" s="409"/>
      <c r="AD146" s="409"/>
      <c r="AE146" s="409"/>
      <c r="AF146" s="409"/>
    </row>
    <row r="147" spans="26:32" x14ac:dyDescent="0.25">
      <c r="Z147" s="409"/>
      <c r="AA147" s="409"/>
      <c r="AB147" s="409"/>
      <c r="AC147" s="409"/>
      <c r="AD147" s="409"/>
      <c r="AE147" s="409"/>
      <c r="AF147" s="409"/>
    </row>
    <row r="148" spans="26:32" x14ac:dyDescent="0.25">
      <c r="Z148" s="409"/>
      <c r="AA148" s="409"/>
      <c r="AB148" s="409"/>
      <c r="AC148" s="409"/>
      <c r="AD148" s="409"/>
      <c r="AE148" s="409"/>
      <c r="AF148" s="409"/>
    </row>
    <row r="149" spans="26:32" x14ac:dyDescent="0.25">
      <c r="Z149" s="409"/>
      <c r="AA149" s="409"/>
      <c r="AB149" s="409"/>
      <c r="AC149" s="409"/>
      <c r="AD149" s="409"/>
      <c r="AE149" s="409"/>
      <c r="AF149" s="409"/>
    </row>
    <row r="150" spans="26:32" x14ac:dyDescent="0.25">
      <c r="Z150" s="409"/>
      <c r="AA150" s="409"/>
      <c r="AB150" s="409"/>
      <c r="AC150" s="409"/>
      <c r="AD150" s="409"/>
      <c r="AE150" s="409"/>
      <c r="AF150" s="409"/>
    </row>
    <row r="151" spans="26:32" x14ac:dyDescent="0.25">
      <c r="Z151" s="409"/>
      <c r="AA151" s="409"/>
      <c r="AB151" s="409"/>
      <c r="AC151" s="409"/>
      <c r="AD151" s="409"/>
      <c r="AE151" s="409"/>
      <c r="AF151" s="409"/>
    </row>
    <row r="152" spans="26:32" x14ac:dyDescent="0.25">
      <c r="Z152" s="409"/>
      <c r="AA152" s="409"/>
      <c r="AB152" s="409"/>
      <c r="AC152" s="409"/>
      <c r="AD152" s="409"/>
      <c r="AE152" s="409"/>
      <c r="AF152" s="409"/>
    </row>
    <row r="153" spans="26:32" x14ac:dyDescent="0.25">
      <c r="Z153" s="409"/>
      <c r="AA153" s="409"/>
      <c r="AB153" s="409"/>
      <c r="AC153" s="409"/>
      <c r="AD153" s="409"/>
      <c r="AE153" s="409"/>
      <c r="AF153" s="409"/>
    </row>
    <row r="154" spans="26:32" x14ac:dyDescent="0.25">
      <c r="Z154" s="409"/>
      <c r="AA154" s="409"/>
      <c r="AB154" s="409"/>
      <c r="AC154" s="409"/>
      <c r="AD154" s="409"/>
      <c r="AE154" s="409"/>
      <c r="AF154" s="409"/>
    </row>
    <row r="155" spans="26:32" x14ac:dyDescent="0.25">
      <c r="Z155" s="409"/>
      <c r="AA155" s="409"/>
      <c r="AB155" s="409"/>
      <c r="AC155" s="409"/>
      <c r="AD155" s="409"/>
      <c r="AE155" s="409"/>
      <c r="AF155" s="409"/>
    </row>
    <row r="156" spans="26:32" x14ac:dyDescent="0.25">
      <c r="Z156" s="409"/>
      <c r="AA156" s="409"/>
      <c r="AB156" s="409"/>
      <c r="AC156" s="409"/>
      <c r="AD156" s="409"/>
      <c r="AE156" s="409"/>
      <c r="AF156" s="409"/>
    </row>
    <row r="157" spans="26:32" x14ac:dyDescent="0.25">
      <c r="Z157" s="409"/>
      <c r="AA157" s="409"/>
      <c r="AB157" s="409"/>
      <c r="AC157" s="409"/>
      <c r="AD157" s="409"/>
      <c r="AE157" s="409"/>
      <c r="AF157" s="409"/>
    </row>
    <row r="158" spans="26:32" x14ac:dyDescent="0.25">
      <c r="Z158" s="409"/>
      <c r="AA158" s="409"/>
      <c r="AB158" s="409"/>
      <c r="AC158" s="409"/>
      <c r="AD158" s="409"/>
      <c r="AE158" s="409"/>
      <c r="AF158" s="409"/>
    </row>
    <row r="159" spans="26:32" x14ac:dyDescent="0.25">
      <c r="Z159" s="409"/>
      <c r="AA159" s="409"/>
      <c r="AB159" s="409"/>
      <c r="AC159" s="409"/>
      <c r="AD159" s="409"/>
      <c r="AE159" s="409"/>
      <c r="AF159" s="409"/>
    </row>
    <row r="160" spans="26:32" x14ac:dyDescent="0.25">
      <c r="Z160" s="409"/>
      <c r="AA160" s="409"/>
      <c r="AB160" s="409"/>
      <c r="AC160" s="409"/>
      <c r="AD160" s="409"/>
      <c r="AE160" s="409"/>
      <c r="AF160" s="409"/>
    </row>
    <row r="161" spans="26:32" x14ac:dyDescent="0.25">
      <c r="Z161" s="409"/>
      <c r="AA161" s="409"/>
      <c r="AB161" s="409"/>
      <c r="AC161" s="409"/>
      <c r="AD161" s="409"/>
      <c r="AE161" s="409"/>
      <c r="AF161" s="409"/>
    </row>
    <row r="162" spans="26:32" x14ac:dyDescent="0.25">
      <c r="Z162" s="409"/>
      <c r="AA162" s="409"/>
      <c r="AB162" s="409"/>
      <c r="AC162" s="409"/>
      <c r="AD162" s="409"/>
      <c r="AE162" s="409"/>
      <c r="AF162" s="409"/>
    </row>
    <row r="163" spans="26:32" x14ac:dyDescent="0.25">
      <c r="Z163" s="409"/>
      <c r="AA163" s="409"/>
      <c r="AB163" s="409"/>
      <c r="AC163" s="409"/>
      <c r="AD163" s="409"/>
      <c r="AE163" s="409"/>
      <c r="AF163" s="409"/>
    </row>
    <row r="164" spans="26:32" x14ac:dyDescent="0.25">
      <c r="Z164" s="409"/>
      <c r="AA164" s="409"/>
      <c r="AB164" s="409"/>
      <c r="AC164" s="409"/>
      <c r="AD164" s="409"/>
      <c r="AE164" s="409"/>
      <c r="AF164" s="409"/>
    </row>
    <row r="165" spans="26:32" x14ac:dyDescent="0.25">
      <c r="Z165" s="409"/>
      <c r="AA165" s="409"/>
      <c r="AB165" s="409"/>
      <c r="AC165" s="409"/>
      <c r="AD165" s="409"/>
      <c r="AE165" s="409"/>
      <c r="AF165" s="409"/>
    </row>
    <row r="166" spans="26:32" x14ac:dyDescent="0.25">
      <c r="Z166" s="409"/>
      <c r="AA166" s="409"/>
      <c r="AB166" s="409"/>
      <c r="AC166" s="409"/>
      <c r="AD166" s="409"/>
      <c r="AE166" s="409"/>
      <c r="AF166" s="409"/>
    </row>
    <row r="167" spans="26:32" x14ac:dyDescent="0.25">
      <c r="Z167" s="409"/>
      <c r="AA167" s="409"/>
      <c r="AB167" s="409"/>
      <c r="AC167" s="409"/>
      <c r="AD167" s="409"/>
      <c r="AE167" s="409"/>
      <c r="AF167" s="409"/>
    </row>
    <row r="168" spans="26:32" x14ac:dyDescent="0.25">
      <c r="Z168" s="409"/>
      <c r="AA168" s="409"/>
      <c r="AB168" s="409"/>
      <c r="AC168" s="409"/>
      <c r="AD168" s="409"/>
      <c r="AE168" s="409"/>
      <c r="AF168" s="409"/>
    </row>
    <row r="169" spans="26:32" x14ac:dyDescent="0.25">
      <c r="Z169" s="409"/>
      <c r="AA169" s="409"/>
      <c r="AB169" s="409"/>
      <c r="AC169" s="409"/>
      <c r="AD169" s="409"/>
      <c r="AE169" s="409"/>
      <c r="AF169" s="409"/>
    </row>
    <row r="170" spans="26:32" x14ac:dyDescent="0.25">
      <c r="Z170" s="409"/>
      <c r="AA170" s="409"/>
      <c r="AB170" s="409"/>
      <c r="AC170" s="409"/>
      <c r="AD170" s="409"/>
      <c r="AE170" s="409"/>
      <c r="AF170" s="409"/>
    </row>
    <row r="171" spans="26:32" x14ac:dyDescent="0.25">
      <c r="Z171" s="409"/>
      <c r="AA171" s="409"/>
      <c r="AB171" s="409"/>
      <c r="AC171" s="409"/>
      <c r="AD171" s="409"/>
      <c r="AE171" s="409"/>
      <c r="AF171" s="409"/>
    </row>
    <row r="172" spans="26:32" x14ac:dyDescent="0.25">
      <c r="Z172" s="409"/>
      <c r="AA172" s="409"/>
      <c r="AB172" s="409"/>
      <c r="AC172" s="409"/>
      <c r="AD172" s="409"/>
      <c r="AE172" s="409"/>
      <c r="AF172" s="409"/>
    </row>
    <row r="173" spans="26:32" x14ac:dyDescent="0.25">
      <c r="Z173" s="409"/>
      <c r="AA173" s="409"/>
      <c r="AB173" s="409"/>
      <c r="AC173" s="409"/>
      <c r="AD173" s="409"/>
      <c r="AE173" s="409"/>
      <c r="AF173" s="409"/>
    </row>
    <row r="174" spans="26:32" x14ac:dyDescent="0.25">
      <c r="Z174" s="409"/>
      <c r="AA174" s="409"/>
      <c r="AB174" s="409"/>
      <c r="AC174" s="409"/>
      <c r="AD174" s="409"/>
      <c r="AE174" s="409"/>
      <c r="AF174" s="409"/>
    </row>
    <row r="175" spans="26:32" x14ac:dyDescent="0.25">
      <c r="Z175" s="409"/>
      <c r="AA175" s="409"/>
      <c r="AB175" s="409"/>
      <c r="AC175" s="409"/>
      <c r="AD175" s="409"/>
      <c r="AE175" s="409"/>
      <c r="AF175" s="409"/>
    </row>
    <row r="176" spans="26:32" x14ac:dyDescent="0.25">
      <c r="Z176" s="409"/>
      <c r="AA176" s="409"/>
      <c r="AB176" s="409"/>
      <c r="AC176" s="409"/>
      <c r="AD176" s="409"/>
      <c r="AE176" s="409"/>
      <c r="AF176" s="409"/>
    </row>
    <row r="177" spans="26:32" x14ac:dyDescent="0.25">
      <c r="Z177" s="409"/>
      <c r="AA177" s="409"/>
      <c r="AB177" s="409"/>
      <c r="AC177" s="409"/>
      <c r="AD177" s="409"/>
      <c r="AE177" s="409"/>
      <c r="AF177" s="409"/>
    </row>
    <row r="178" spans="26:32" x14ac:dyDescent="0.25">
      <c r="Z178" s="409"/>
      <c r="AA178" s="409"/>
      <c r="AB178" s="409"/>
      <c r="AC178" s="409"/>
      <c r="AD178" s="409"/>
      <c r="AE178" s="409"/>
      <c r="AF178" s="409"/>
    </row>
    <row r="179" spans="26:32" x14ac:dyDescent="0.25">
      <c r="Z179" s="409"/>
      <c r="AA179" s="409"/>
      <c r="AB179" s="409"/>
      <c r="AC179" s="409"/>
      <c r="AD179" s="409"/>
      <c r="AE179" s="409"/>
      <c r="AF179" s="409"/>
    </row>
    <row r="180" spans="26:32" x14ac:dyDescent="0.25">
      <c r="Z180" s="409"/>
      <c r="AA180" s="409"/>
      <c r="AB180" s="409"/>
      <c r="AC180" s="409"/>
      <c r="AD180" s="409"/>
      <c r="AE180" s="409"/>
      <c r="AF180" s="409"/>
    </row>
    <row r="181" spans="26:32" x14ac:dyDescent="0.25">
      <c r="Z181" s="409"/>
      <c r="AA181" s="409"/>
      <c r="AB181" s="409"/>
      <c r="AC181" s="409"/>
      <c r="AD181" s="409"/>
      <c r="AE181" s="409"/>
      <c r="AF181" s="409"/>
    </row>
    <row r="182" spans="26:32" x14ac:dyDescent="0.25">
      <c r="Z182" s="409"/>
      <c r="AA182" s="409"/>
      <c r="AB182" s="409"/>
      <c r="AC182" s="409"/>
      <c r="AD182" s="409"/>
      <c r="AE182" s="409"/>
      <c r="AF182" s="409"/>
    </row>
    <row r="183" spans="26:32" x14ac:dyDescent="0.25">
      <c r="Z183" s="409"/>
      <c r="AA183" s="409"/>
      <c r="AB183" s="409"/>
      <c r="AC183" s="409"/>
      <c r="AD183" s="409"/>
      <c r="AE183" s="409"/>
      <c r="AF183" s="409"/>
    </row>
    <row r="184" spans="26:32" x14ac:dyDescent="0.25">
      <c r="Z184" s="409"/>
      <c r="AA184" s="409"/>
      <c r="AB184" s="409"/>
      <c r="AC184" s="409"/>
      <c r="AD184" s="409"/>
      <c r="AE184" s="409"/>
      <c r="AF184" s="409"/>
    </row>
    <row r="185" spans="26:32" x14ac:dyDescent="0.25">
      <c r="Z185" s="409"/>
      <c r="AA185" s="409"/>
      <c r="AB185" s="409"/>
      <c r="AC185" s="409"/>
      <c r="AD185" s="409"/>
      <c r="AE185" s="409"/>
      <c r="AF185" s="409"/>
    </row>
    <row r="186" spans="26:32" x14ac:dyDescent="0.25">
      <c r="Z186" s="409"/>
      <c r="AA186" s="409"/>
      <c r="AB186" s="409"/>
      <c r="AC186" s="409"/>
      <c r="AD186" s="409"/>
      <c r="AE186" s="409"/>
      <c r="AF186" s="409"/>
    </row>
    <row r="187" spans="26:32" x14ac:dyDescent="0.25">
      <c r="Z187" s="409"/>
      <c r="AA187" s="409"/>
      <c r="AB187" s="409"/>
      <c r="AC187" s="409"/>
      <c r="AD187" s="409"/>
      <c r="AE187" s="409"/>
      <c r="AF187" s="409"/>
    </row>
    <row r="188" spans="26:32" x14ac:dyDescent="0.25">
      <c r="Z188" s="409"/>
      <c r="AA188" s="409"/>
      <c r="AB188" s="409"/>
      <c r="AC188" s="409"/>
      <c r="AD188" s="409"/>
      <c r="AE188" s="409"/>
      <c r="AF188" s="409"/>
    </row>
    <row r="189" spans="26:32" x14ac:dyDescent="0.25">
      <c r="Z189" s="409"/>
      <c r="AA189" s="409"/>
      <c r="AB189" s="409"/>
      <c r="AC189" s="409"/>
      <c r="AD189" s="409"/>
      <c r="AE189" s="409"/>
      <c r="AF189" s="409"/>
    </row>
  </sheetData>
  <sheetProtection algorithmName="SHA-512" hashValue="jfFiF5XkEp8kF1GpB21blShdE+viEy3QvkAy7PRIqkOfEhCXxuFKpS/QRnCMWhgwbfzC6FO5ihtA8XN3AbiYIA==" saltValue="DfvfxU6LBz1CxiuiPw1CaQ==" spinCount="100000" sheet="1" objects="1" scenarios="1"/>
  <dataConsolidate link="1"/>
  <mergeCells count="57">
    <mergeCell ref="C1:F1"/>
    <mergeCell ref="AH5:AK5"/>
    <mergeCell ref="AE4:AF5"/>
    <mergeCell ref="AB4:AC5"/>
    <mergeCell ref="X4:X6"/>
    <mergeCell ref="G4:V6"/>
    <mergeCell ref="C2:D2"/>
    <mergeCell ref="G2:I2"/>
    <mergeCell ref="B29:B30"/>
    <mergeCell ref="G29:V29"/>
    <mergeCell ref="G30:V30"/>
    <mergeCell ref="D43:F43"/>
    <mergeCell ref="H43:X43"/>
    <mergeCell ref="G32:V32"/>
    <mergeCell ref="G33:V33"/>
    <mergeCell ref="G40:V40"/>
    <mergeCell ref="G41:V41"/>
    <mergeCell ref="G42:V42"/>
    <mergeCell ref="G31:V31"/>
    <mergeCell ref="G34:V34"/>
    <mergeCell ref="G35:V35"/>
    <mergeCell ref="G36:V36"/>
    <mergeCell ref="G37:V37"/>
    <mergeCell ref="G38:V38"/>
    <mergeCell ref="B85:C85"/>
    <mergeCell ref="D44:F44"/>
    <mergeCell ref="H44:X48"/>
    <mergeCell ref="D45:F45"/>
    <mergeCell ref="D46:F46"/>
    <mergeCell ref="D47:F47"/>
    <mergeCell ref="D48:F48"/>
    <mergeCell ref="G23:V23"/>
    <mergeCell ref="G24:V24"/>
    <mergeCell ref="G25:V25"/>
    <mergeCell ref="G39:V39"/>
    <mergeCell ref="G26:V26"/>
    <mergeCell ref="G27:V27"/>
    <mergeCell ref="G28:V28"/>
    <mergeCell ref="G16:V16"/>
    <mergeCell ref="G17:V17"/>
    <mergeCell ref="G18:V18"/>
    <mergeCell ref="G19:V19"/>
    <mergeCell ref="G22:V22"/>
    <mergeCell ref="G21:V21"/>
    <mergeCell ref="G20:V20"/>
    <mergeCell ref="B7:B8"/>
    <mergeCell ref="G7:V7"/>
    <mergeCell ref="G8:V8"/>
    <mergeCell ref="F4:F6"/>
    <mergeCell ref="E4:E6"/>
    <mergeCell ref="G14:V14"/>
    <mergeCell ref="G15:V15"/>
    <mergeCell ref="G9:V9"/>
    <mergeCell ref="G10:V10"/>
    <mergeCell ref="G11:V11"/>
    <mergeCell ref="G12:V12"/>
    <mergeCell ref="G13:V13"/>
  </mergeCells>
  <conditionalFormatting sqref="F50">
    <cfRule type="expression" dxfId="755" priority="38" stopIfTrue="1">
      <formula>$K42&lt;0</formula>
    </cfRule>
    <cfRule type="expression" dxfId="754" priority="39" stopIfTrue="1">
      <formula>$K42&gt;9</formula>
    </cfRule>
  </conditionalFormatting>
  <conditionalFormatting sqref="F7:F42">
    <cfRule type="expression" dxfId="753" priority="40" stopIfTrue="1">
      <formula>$G7&gt;0</formula>
    </cfRule>
  </conditionalFormatting>
  <conditionalFormatting sqref="C9:C20">
    <cfRule type="expression" dxfId="752" priority="35" stopIfTrue="1">
      <formula>B9=3</formula>
    </cfRule>
    <cfRule type="expression" dxfId="751" priority="36" stopIfTrue="1">
      <formula>B9=4</formula>
    </cfRule>
    <cfRule type="expression" dxfId="750" priority="37" stopIfTrue="1">
      <formula>B9=5</formula>
    </cfRule>
  </conditionalFormatting>
  <conditionalFormatting sqref="C9:C20">
    <cfRule type="cellIs" dxfId="749" priority="31" operator="equal">
      <formula>""</formula>
    </cfRule>
    <cfRule type="expression" dxfId="748" priority="32" stopIfTrue="1">
      <formula>B9=8</formula>
    </cfRule>
    <cfRule type="expression" dxfId="747" priority="33" stopIfTrue="1">
      <formula>B9=7</formula>
    </cfRule>
    <cfRule type="expression" dxfId="746" priority="34" stopIfTrue="1">
      <formula>B9=6</formula>
    </cfRule>
  </conditionalFormatting>
  <conditionalFormatting sqref="C31:C42">
    <cfRule type="expression" dxfId="745" priority="28" stopIfTrue="1">
      <formula>B31=3</formula>
    </cfRule>
    <cfRule type="expression" dxfId="744" priority="29" stopIfTrue="1">
      <formula>B31=4</formula>
    </cfRule>
    <cfRule type="expression" dxfId="743" priority="30" stopIfTrue="1">
      <formula>B31=5</formula>
    </cfRule>
  </conditionalFormatting>
  <conditionalFormatting sqref="C31:C42">
    <cfRule type="cellIs" dxfId="742" priority="24" operator="equal">
      <formula>""</formula>
    </cfRule>
    <cfRule type="expression" dxfId="741" priority="25" stopIfTrue="1">
      <formula>B31=8</formula>
    </cfRule>
    <cfRule type="expression" dxfId="740" priority="26" stopIfTrue="1">
      <formula>B31=7</formula>
    </cfRule>
    <cfRule type="expression" dxfId="739" priority="27" stopIfTrue="1">
      <formula>B31=6</formula>
    </cfRule>
  </conditionalFormatting>
  <conditionalFormatting sqref="C44:C48">
    <cfRule type="cellIs" dxfId="738" priority="23" operator="notEqual">
      <formula>""</formula>
    </cfRule>
  </conditionalFormatting>
  <conditionalFormatting sqref="X7">
    <cfRule type="expression" dxfId="737" priority="22">
      <formula>$Z$7=TRUE</formula>
    </cfRule>
  </conditionalFormatting>
  <conditionalFormatting sqref="X8">
    <cfRule type="expression" dxfId="736" priority="21">
      <formula>$Z$8=TRUE</formula>
    </cfRule>
  </conditionalFormatting>
  <conditionalFormatting sqref="X9">
    <cfRule type="expression" dxfId="735" priority="20">
      <formula>$Z$9=TRUE</formula>
    </cfRule>
  </conditionalFormatting>
  <conditionalFormatting sqref="X10">
    <cfRule type="expression" dxfId="734" priority="19">
      <formula>$Z$10=TRUE</formula>
    </cfRule>
  </conditionalFormatting>
  <conditionalFormatting sqref="X11">
    <cfRule type="expression" dxfId="733" priority="18">
      <formula>$Z$11=TRUE</formula>
    </cfRule>
  </conditionalFormatting>
  <conditionalFormatting sqref="X12">
    <cfRule type="expression" dxfId="732" priority="17">
      <formula>$Z$12=TRUE</formula>
    </cfRule>
  </conditionalFormatting>
  <conditionalFormatting sqref="X13">
    <cfRule type="expression" dxfId="731" priority="16">
      <formula>$Z$13=TRUE</formula>
    </cfRule>
  </conditionalFormatting>
  <conditionalFormatting sqref="X14">
    <cfRule type="expression" dxfId="730" priority="15">
      <formula>$Z$14=TRUE</formula>
    </cfRule>
  </conditionalFormatting>
  <conditionalFormatting sqref="X15:X24">
    <cfRule type="expression" dxfId="729" priority="14">
      <formula>$Z15=TRUE</formula>
    </cfRule>
  </conditionalFormatting>
  <conditionalFormatting sqref="X25:X42">
    <cfRule type="expression" dxfId="728" priority="13">
      <formula>$Z25=TRUE</formula>
    </cfRule>
  </conditionalFormatting>
  <conditionalFormatting sqref="G32:V42">
    <cfRule type="expression" dxfId="727" priority="11">
      <formula>$Z32=TRUE</formula>
    </cfRule>
  </conditionalFormatting>
  <conditionalFormatting sqref="AH7:AK42">
    <cfRule type="cellIs" dxfId="726" priority="8" stopIfTrue="1" operator="equal">
      <formula>1</formula>
    </cfRule>
    <cfRule type="cellIs" dxfId="725" priority="9" stopIfTrue="1" operator="equal">
      <formula>2</formula>
    </cfRule>
    <cfRule type="cellIs" dxfId="724" priority="10" stopIfTrue="1" operator="equal">
      <formula>3</formula>
    </cfRule>
  </conditionalFormatting>
  <conditionalFormatting sqref="AE7:AF42">
    <cfRule type="cellIs" dxfId="723" priority="5" operator="equal">
      <formula>"?"</formula>
    </cfRule>
    <cfRule type="cellIs" dxfId="722" priority="6" operator="equal">
      <formula>"n"</formula>
    </cfRule>
    <cfRule type="cellIs" dxfId="721" priority="7" operator="equal">
      <formula>"j"</formula>
    </cfRule>
  </conditionalFormatting>
  <conditionalFormatting sqref="G7:V31">
    <cfRule type="expression" dxfId="720" priority="3">
      <formula>$Z7=TRUE</formula>
    </cfRule>
  </conditionalFormatting>
  <conditionalFormatting sqref="AB7:AB42">
    <cfRule type="cellIs" dxfId="719" priority="2" operator="equal">
      <formula>"x"</formula>
    </cfRule>
  </conditionalFormatting>
  <conditionalFormatting sqref="AC7:AC42">
    <cfRule type="cellIs" dxfId="718" priority="1" operator="equal">
      <formula>"x"</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4:X27 W29:X32 W34:X37 W39:X42 W19:X22"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H7:AK42" xr:uid="{00000000-0002-0000-2100-000009000000}">
      <formula1>"1,2,3,"</formula1>
    </dataValidation>
    <dataValidation type="list" allowBlank="1" showInputMessage="1" showErrorMessage="1" sqref="AF7:AF42" xr:uid="{00000000-0002-0000-2100-00000A000000}">
      <formula1>"j,n,?,"</formula1>
    </dataValidation>
    <dataValidation type="list" allowBlank="1" showInputMessage="1" showErrorMessage="1" prompt="x = weinig gekozen _x000a_( 0x - 1x - 2x )_x000a_" sqref="AC7:AC42" xr:uid="{00000000-0002-0000-2100-00000B000000}">
      <formula1>"x,"</formula1>
    </dataValidation>
    <dataValidation type="list" allowBlank="1" showInputMessage="1" showErrorMessage="1" prompt="x = veel gekozen _x000a_( &gt; 15x ) _x000a__x000a_" sqref="AB7:AB42" xr:uid="{00000000-0002-0000-2100-00000C000000}">
      <formula1>"x,"</formula1>
    </dataValidation>
    <dataValidation type="list" allowBlank="1" showInputMessage="1" showErrorMessage="1" promptTitle="LijV 4-5" prompt="Opvallend is_x000a_veel ????" sqref="AE7:AE42" xr:uid="{00000000-0002-0000-2100-00000D000000}">
      <formula1>"j,n,?,"</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23</xdr:col>
                    <xdr:colOff>38100</xdr:colOff>
                    <xdr:row>9</xdr:row>
                    <xdr:rowOff>12700</xdr:rowOff>
                  </from>
                  <to>
                    <xdr:col>23</xdr:col>
                    <xdr:colOff>374650</xdr:colOff>
                    <xdr:row>9</xdr:row>
                    <xdr:rowOff>228600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23</xdr:col>
                    <xdr:colOff>38100</xdr:colOff>
                    <xdr:row>8</xdr:row>
                    <xdr:rowOff>12700</xdr:rowOff>
                  </from>
                  <to>
                    <xdr:col>23</xdr:col>
                    <xdr:colOff>374650</xdr:colOff>
                    <xdr:row>8</xdr:row>
                    <xdr:rowOff>228600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23</xdr:col>
                    <xdr:colOff>38100</xdr:colOff>
                    <xdr:row>10</xdr:row>
                    <xdr:rowOff>19050</xdr:rowOff>
                  </from>
                  <to>
                    <xdr:col>23</xdr:col>
                    <xdr:colOff>374650</xdr:colOff>
                    <xdr:row>10</xdr:row>
                    <xdr:rowOff>241300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23</xdr:col>
                    <xdr:colOff>38100</xdr:colOff>
                    <xdr:row>11</xdr:row>
                    <xdr:rowOff>19050</xdr:rowOff>
                  </from>
                  <to>
                    <xdr:col>23</xdr:col>
                    <xdr:colOff>374650</xdr:colOff>
                    <xdr:row>11</xdr:row>
                    <xdr:rowOff>241300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23</xdr:col>
                    <xdr:colOff>38100</xdr:colOff>
                    <xdr:row>13</xdr:row>
                    <xdr:rowOff>19050</xdr:rowOff>
                  </from>
                  <to>
                    <xdr:col>23</xdr:col>
                    <xdr:colOff>374650</xdr:colOff>
                    <xdr:row>13</xdr:row>
                    <xdr:rowOff>241300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23</xdr:col>
                    <xdr:colOff>38100</xdr:colOff>
                    <xdr:row>12</xdr:row>
                    <xdr:rowOff>19050</xdr:rowOff>
                  </from>
                  <to>
                    <xdr:col>23</xdr:col>
                    <xdr:colOff>374650</xdr:colOff>
                    <xdr:row>13</xdr:row>
                    <xdr:rowOff>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23</xdr:col>
                    <xdr:colOff>38100</xdr:colOff>
                    <xdr:row>14</xdr:row>
                    <xdr:rowOff>19050</xdr:rowOff>
                  </from>
                  <to>
                    <xdr:col>23</xdr:col>
                    <xdr:colOff>374650</xdr:colOff>
                    <xdr:row>14</xdr:row>
                    <xdr:rowOff>241300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23</xdr:col>
                    <xdr:colOff>38100</xdr:colOff>
                    <xdr:row>15</xdr:row>
                    <xdr:rowOff>19050</xdr:rowOff>
                  </from>
                  <to>
                    <xdr:col>23</xdr:col>
                    <xdr:colOff>374650</xdr:colOff>
                    <xdr:row>15</xdr:row>
                    <xdr:rowOff>241300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23</xdr:col>
                    <xdr:colOff>38100</xdr:colOff>
                    <xdr:row>17</xdr:row>
                    <xdr:rowOff>12700</xdr:rowOff>
                  </from>
                  <to>
                    <xdr:col>23</xdr:col>
                    <xdr:colOff>374650</xdr:colOff>
                    <xdr:row>17</xdr:row>
                    <xdr:rowOff>228600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23</xdr:col>
                    <xdr:colOff>38100</xdr:colOff>
                    <xdr:row>16</xdr:row>
                    <xdr:rowOff>12700</xdr:rowOff>
                  </from>
                  <to>
                    <xdr:col>23</xdr:col>
                    <xdr:colOff>374650</xdr:colOff>
                    <xdr:row>16</xdr:row>
                    <xdr:rowOff>228600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23</xdr:col>
                    <xdr:colOff>38100</xdr:colOff>
                    <xdr:row>18</xdr:row>
                    <xdr:rowOff>19050</xdr:rowOff>
                  </from>
                  <to>
                    <xdr:col>23</xdr:col>
                    <xdr:colOff>374650</xdr:colOff>
                    <xdr:row>18</xdr:row>
                    <xdr:rowOff>241300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23</xdr:col>
                    <xdr:colOff>38100</xdr:colOff>
                    <xdr:row>19</xdr:row>
                    <xdr:rowOff>19050</xdr:rowOff>
                  </from>
                  <to>
                    <xdr:col>23</xdr:col>
                    <xdr:colOff>374650</xdr:colOff>
                    <xdr:row>19</xdr:row>
                    <xdr:rowOff>241300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23</xdr:col>
                    <xdr:colOff>38100</xdr:colOff>
                    <xdr:row>21</xdr:row>
                    <xdr:rowOff>19050</xdr:rowOff>
                  </from>
                  <to>
                    <xdr:col>23</xdr:col>
                    <xdr:colOff>374650</xdr:colOff>
                    <xdr:row>21</xdr:row>
                    <xdr:rowOff>241300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23</xdr:col>
                    <xdr:colOff>38100</xdr:colOff>
                    <xdr:row>20</xdr:row>
                    <xdr:rowOff>19050</xdr:rowOff>
                  </from>
                  <to>
                    <xdr:col>23</xdr:col>
                    <xdr:colOff>374650</xdr:colOff>
                    <xdr:row>20</xdr:row>
                    <xdr:rowOff>241300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23</xdr:col>
                    <xdr:colOff>38100</xdr:colOff>
                    <xdr:row>22</xdr:row>
                    <xdr:rowOff>19050</xdr:rowOff>
                  </from>
                  <to>
                    <xdr:col>23</xdr:col>
                    <xdr:colOff>374650</xdr:colOff>
                    <xdr:row>22</xdr:row>
                    <xdr:rowOff>241300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23</xdr:col>
                    <xdr:colOff>38100</xdr:colOff>
                    <xdr:row>23</xdr:row>
                    <xdr:rowOff>19050</xdr:rowOff>
                  </from>
                  <to>
                    <xdr:col>23</xdr:col>
                    <xdr:colOff>374650</xdr:colOff>
                    <xdr:row>23</xdr:row>
                    <xdr:rowOff>241300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23</xdr:col>
                    <xdr:colOff>38100</xdr:colOff>
                    <xdr:row>25</xdr:row>
                    <xdr:rowOff>12700</xdr:rowOff>
                  </from>
                  <to>
                    <xdr:col>23</xdr:col>
                    <xdr:colOff>374650</xdr:colOff>
                    <xdr:row>25</xdr:row>
                    <xdr:rowOff>228600</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23</xdr:col>
                    <xdr:colOff>38100</xdr:colOff>
                    <xdr:row>24</xdr:row>
                    <xdr:rowOff>12700</xdr:rowOff>
                  </from>
                  <to>
                    <xdr:col>23</xdr:col>
                    <xdr:colOff>374650</xdr:colOff>
                    <xdr:row>24</xdr:row>
                    <xdr:rowOff>228600</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23</xdr:col>
                    <xdr:colOff>38100</xdr:colOff>
                    <xdr:row>26</xdr:row>
                    <xdr:rowOff>19050</xdr:rowOff>
                  </from>
                  <to>
                    <xdr:col>23</xdr:col>
                    <xdr:colOff>374650</xdr:colOff>
                    <xdr:row>26</xdr:row>
                    <xdr:rowOff>241300</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23</xdr:col>
                    <xdr:colOff>38100</xdr:colOff>
                    <xdr:row>27</xdr:row>
                    <xdr:rowOff>19050</xdr:rowOff>
                  </from>
                  <to>
                    <xdr:col>23</xdr:col>
                    <xdr:colOff>374650</xdr:colOff>
                    <xdr:row>27</xdr:row>
                    <xdr:rowOff>241300</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23</xdr:col>
                    <xdr:colOff>38100</xdr:colOff>
                    <xdr:row>29</xdr:row>
                    <xdr:rowOff>19050</xdr:rowOff>
                  </from>
                  <to>
                    <xdr:col>23</xdr:col>
                    <xdr:colOff>374650</xdr:colOff>
                    <xdr:row>29</xdr:row>
                    <xdr:rowOff>241300</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23</xdr:col>
                    <xdr:colOff>38100</xdr:colOff>
                    <xdr:row>28</xdr:row>
                    <xdr:rowOff>19050</xdr:rowOff>
                  </from>
                  <to>
                    <xdr:col>23</xdr:col>
                    <xdr:colOff>374650</xdr:colOff>
                    <xdr:row>28</xdr:row>
                    <xdr:rowOff>241300</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23</xdr:col>
                    <xdr:colOff>38100</xdr:colOff>
                    <xdr:row>30</xdr:row>
                    <xdr:rowOff>19050</xdr:rowOff>
                  </from>
                  <to>
                    <xdr:col>23</xdr:col>
                    <xdr:colOff>374650</xdr:colOff>
                    <xdr:row>30</xdr:row>
                    <xdr:rowOff>241300</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23</xdr:col>
                    <xdr:colOff>38100</xdr:colOff>
                    <xdr:row>31</xdr:row>
                    <xdr:rowOff>19050</xdr:rowOff>
                  </from>
                  <to>
                    <xdr:col>23</xdr:col>
                    <xdr:colOff>374650</xdr:colOff>
                    <xdr:row>31</xdr:row>
                    <xdr:rowOff>241300</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23</xdr:col>
                    <xdr:colOff>38100</xdr:colOff>
                    <xdr:row>33</xdr:row>
                    <xdr:rowOff>12700</xdr:rowOff>
                  </from>
                  <to>
                    <xdr:col>23</xdr:col>
                    <xdr:colOff>374650</xdr:colOff>
                    <xdr:row>33</xdr:row>
                    <xdr:rowOff>228600</xdr:rowOff>
                  </to>
                </anchor>
              </controlPr>
            </control>
          </mc:Choice>
        </mc:AlternateContent>
        <mc:AlternateContent xmlns:mc="http://schemas.openxmlformats.org/markup-compatibility/2006">
          <mc:Choice Requires="x14">
            <control shapeId="98330" r:id="rId29" name="Check Box 26">
              <controlPr defaultSize="0" autoFill="0" autoLine="0" autoPict="0">
                <anchor moveWithCells="1">
                  <from>
                    <xdr:col>23</xdr:col>
                    <xdr:colOff>38100</xdr:colOff>
                    <xdr:row>32</xdr:row>
                    <xdr:rowOff>12700</xdr:rowOff>
                  </from>
                  <to>
                    <xdr:col>23</xdr:col>
                    <xdr:colOff>374650</xdr:colOff>
                    <xdr:row>32</xdr:row>
                    <xdr:rowOff>228600</xdr:rowOff>
                  </to>
                </anchor>
              </controlPr>
            </control>
          </mc:Choice>
        </mc:AlternateContent>
        <mc:AlternateContent xmlns:mc="http://schemas.openxmlformats.org/markup-compatibility/2006">
          <mc:Choice Requires="x14">
            <control shapeId="98331" r:id="rId30" name="Check Box 27">
              <controlPr defaultSize="0" autoFill="0" autoLine="0" autoPict="0">
                <anchor moveWithCells="1">
                  <from>
                    <xdr:col>23</xdr:col>
                    <xdr:colOff>38100</xdr:colOff>
                    <xdr:row>34</xdr:row>
                    <xdr:rowOff>19050</xdr:rowOff>
                  </from>
                  <to>
                    <xdr:col>23</xdr:col>
                    <xdr:colOff>374650</xdr:colOff>
                    <xdr:row>34</xdr:row>
                    <xdr:rowOff>241300</xdr:rowOff>
                  </to>
                </anchor>
              </controlPr>
            </control>
          </mc:Choice>
        </mc:AlternateContent>
        <mc:AlternateContent xmlns:mc="http://schemas.openxmlformats.org/markup-compatibility/2006">
          <mc:Choice Requires="x14">
            <control shapeId="98332" r:id="rId31" name="Check Box 28">
              <controlPr defaultSize="0" autoFill="0" autoLine="0" autoPict="0">
                <anchor moveWithCells="1">
                  <from>
                    <xdr:col>23</xdr:col>
                    <xdr:colOff>38100</xdr:colOff>
                    <xdr:row>35</xdr:row>
                    <xdr:rowOff>19050</xdr:rowOff>
                  </from>
                  <to>
                    <xdr:col>23</xdr:col>
                    <xdr:colOff>374650</xdr:colOff>
                    <xdr:row>35</xdr:row>
                    <xdr:rowOff>241300</xdr:rowOff>
                  </to>
                </anchor>
              </controlPr>
            </control>
          </mc:Choice>
        </mc:AlternateContent>
        <mc:AlternateContent xmlns:mc="http://schemas.openxmlformats.org/markup-compatibility/2006">
          <mc:Choice Requires="x14">
            <control shapeId="98333" r:id="rId32" name="Check Box 29">
              <controlPr defaultSize="0" autoFill="0" autoLine="0" autoPict="0">
                <anchor moveWithCells="1">
                  <from>
                    <xdr:col>23</xdr:col>
                    <xdr:colOff>38100</xdr:colOff>
                    <xdr:row>37</xdr:row>
                    <xdr:rowOff>19050</xdr:rowOff>
                  </from>
                  <to>
                    <xdr:col>23</xdr:col>
                    <xdr:colOff>374650</xdr:colOff>
                    <xdr:row>37</xdr:row>
                    <xdr:rowOff>241300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23</xdr:col>
                    <xdr:colOff>38100</xdr:colOff>
                    <xdr:row>36</xdr:row>
                    <xdr:rowOff>19050</xdr:rowOff>
                  </from>
                  <to>
                    <xdr:col>23</xdr:col>
                    <xdr:colOff>374650</xdr:colOff>
                    <xdr:row>36</xdr:row>
                    <xdr:rowOff>241300</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23</xdr:col>
                    <xdr:colOff>38100</xdr:colOff>
                    <xdr:row>38</xdr:row>
                    <xdr:rowOff>19050</xdr:rowOff>
                  </from>
                  <to>
                    <xdr:col>23</xdr:col>
                    <xdr:colOff>374650</xdr:colOff>
                    <xdr:row>38</xdr:row>
                    <xdr:rowOff>241300</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23</xdr:col>
                    <xdr:colOff>38100</xdr:colOff>
                    <xdr:row>39</xdr:row>
                    <xdr:rowOff>19050</xdr:rowOff>
                  </from>
                  <to>
                    <xdr:col>23</xdr:col>
                    <xdr:colOff>374650</xdr:colOff>
                    <xdr:row>39</xdr:row>
                    <xdr:rowOff>241300</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23</xdr:col>
                    <xdr:colOff>38100</xdr:colOff>
                    <xdr:row>41</xdr:row>
                    <xdr:rowOff>12700</xdr:rowOff>
                  </from>
                  <to>
                    <xdr:col>23</xdr:col>
                    <xdr:colOff>374650</xdr:colOff>
                    <xdr:row>41</xdr:row>
                    <xdr:rowOff>228600</xdr:rowOff>
                  </to>
                </anchor>
              </controlPr>
            </control>
          </mc:Choice>
        </mc:AlternateContent>
        <mc:AlternateContent xmlns:mc="http://schemas.openxmlformats.org/markup-compatibility/2006">
          <mc:Choice Requires="x14">
            <control shapeId="98338" r:id="rId37" name="Check Box 34">
              <controlPr defaultSize="0" autoFill="0" autoLine="0" autoPict="0">
                <anchor moveWithCells="1">
                  <from>
                    <xdr:col>23</xdr:col>
                    <xdr:colOff>38100</xdr:colOff>
                    <xdr:row>40</xdr:row>
                    <xdr:rowOff>12700</xdr:rowOff>
                  </from>
                  <to>
                    <xdr:col>23</xdr:col>
                    <xdr:colOff>374650</xdr:colOff>
                    <xdr:row>40</xdr:row>
                    <xdr:rowOff>228600</xdr:rowOff>
                  </to>
                </anchor>
              </controlPr>
            </control>
          </mc:Choice>
        </mc:AlternateContent>
        <mc:AlternateContent xmlns:mc="http://schemas.openxmlformats.org/markup-compatibility/2006">
          <mc:Choice Requires="x14">
            <control shapeId="98339" r:id="rId38" name="Check Box 35">
              <controlPr defaultSize="0" autoFill="0" autoLine="0" autoPict="0">
                <anchor moveWithCells="1">
                  <from>
                    <xdr:col>23</xdr:col>
                    <xdr:colOff>38100</xdr:colOff>
                    <xdr:row>6</xdr:row>
                    <xdr:rowOff>12700</xdr:rowOff>
                  </from>
                  <to>
                    <xdr:col>23</xdr:col>
                    <xdr:colOff>374650</xdr:colOff>
                    <xdr:row>6</xdr:row>
                    <xdr:rowOff>228600</xdr:rowOff>
                  </to>
                </anchor>
              </controlPr>
            </control>
          </mc:Choice>
        </mc:AlternateContent>
        <mc:AlternateContent xmlns:mc="http://schemas.openxmlformats.org/markup-compatibility/2006">
          <mc:Choice Requires="x14">
            <control shapeId="98340" r:id="rId39" name="Check Box 36">
              <controlPr defaultSize="0" autoFill="0" autoLine="0" autoPict="0">
                <anchor moveWithCells="1">
                  <from>
                    <xdr:col>23</xdr:col>
                    <xdr:colOff>38100</xdr:colOff>
                    <xdr:row>7</xdr:row>
                    <xdr:rowOff>12700</xdr:rowOff>
                  </from>
                  <to>
                    <xdr:col>23</xdr:col>
                    <xdr:colOff>374650</xdr:colOff>
                    <xdr:row>7</xdr:row>
                    <xdr:rowOff>228600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AA189"/>
  <sheetViews>
    <sheetView showGridLines="0" showRowColHeaders="0" zoomScaleNormal="100" workbookViewId="0"/>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5.7265625" style="90" customWidth="1"/>
    <col min="12" max="12" width="5.7265625" style="88" customWidth="1"/>
    <col min="13" max="13" width="5.7265625" style="83" customWidth="1"/>
    <col min="14" max="14" width="3.1796875" style="83" customWidth="1"/>
    <col min="15" max="15" width="4.81640625" style="83" bestFit="1" customWidth="1"/>
    <col min="16" max="16" width="60.7265625" style="83" customWidth="1"/>
    <col min="17" max="17" width="6.7265625" style="83" customWidth="1"/>
    <col min="18" max="22" width="7.26953125" style="87" customWidth="1"/>
    <col min="23" max="25" width="6.7265625" style="87" customWidth="1"/>
    <col min="26" max="26" width="6.26953125" style="87" customWidth="1"/>
    <col min="27" max="27" width="9.1796875" style="87"/>
    <col min="28" max="16384" width="9.1796875" style="83"/>
  </cols>
  <sheetData>
    <row r="1" spans="1:24" s="79" customFormat="1" ht="30" customHeight="1" thickBot="1" x14ac:dyDescent="0.65">
      <c r="B1" s="80"/>
      <c r="C1" s="960" t="s">
        <v>123</v>
      </c>
      <c r="D1" s="961"/>
      <c r="E1" s="961"/>
      <c r="F1" s="961"/>
      <c r="G1" s="961"/>
      <c r="H1" s="961"/>
      <c r="I1" s="961"/>
      <c r="J1" s="961"/>
      <c r="K1" s="938" t="str">
        <f>BEGINBLAD!$I$3</f>
        <v>groep 7</v>
      </c>
      <c r="L1" s="938"/>
      <c r="M1" s="938"/>
      <c r="N1" s="938"/>
      <c r="O1" s="938"/>
      <c r="P1" s="241"/>
      <c r="X1" s="82"/>
    </row>
    <row r="2" spans="1:24" ht="24" customHeight="1" x14ac:dyDescent="0.25">
      <c r="C2" s="953" t="str">
        <f>BEGINBLAD!$N$3</f>
        <v>nov.</v>
      </c>
      <c r="D2" s="953"/>
      <c r="E2" s="242"/>
      <c r="F2" s="243" t="str">
        <f>BEGINBLAD!$O$3</f>
        <v>apr.</v>
      </c>
      <c r="G2" s="954">
        <f>BEGINBLAD!$P$3</f>
        <v>2020</v>
      </c>
      <c r="H2" s="954"/>
      <c r="I2" s="954"/>
      <c r="M2" s="85"/>
      <c r="N2" s="86"/>
      <c r="O2" s="86"/>
    </row>
    <row r="3" spans="1:24" ht="13" thickBot="1" x14ac:dyDescent="0.3">
      <c r="M3" s="91"/>
      <c r="N3" s="91"/>
      <c r="O3" s="91"/>
      <c r="P3" s="91"/>
    </row>
    <row r="4" spans="1:24" ht="140.15" customHeight="1" x14ac:dyDescent="0.25">
      <c r="C4" s="92"/>
      <c r="D4" s="93"/>
      <c r="E4" s="94"/>
      <c r="F4" s="95" t="s">
        <v>5</v>
      </c>
      <c r="G4" s="96" t="s">
        <v>65</v>
      </c>
      <c r="H4" s="97" t="s">
        <v>128</v>
      </c>
      <c r="I4" s="98" t="s">
        <v>15</v>
      </c>
      <c r="J4" s="99" t="s">
        <v>66</v>
      </c>
      <c r="K4" s="96" t="s">
        <v>65</v>
      </c>
      <c r="L4" s="100" t="s">
        <v>129</v>
      </c>
      <c r="M4" s="101" t="s">
        <v>67</v>
      </c>
      <c r="N4" s="102"/>
      <c r="O4" s="102"/>
    </row>
    <row r="5" spans="1:24" ht="19.5" customHeight="1" x14ac:dyDescent="0.25">
      <c r="A5" s="103"/>
      <c r="B5" s="913" t="s">
        <v>2</v>
      </c>
      <c r="C5" s="104" t="s">
        <v>68</v>
      </c>
      <c r="D5" s="105">
        <v>0</v>
      </c>
      <c r="E5" s="106">
        <v>1</v>
      </c>
      <c r="F5" s="175" t="str">
        <f>BEGINBLAD!C5</f>
        <v>leerling 1</v>
      </c>
      <c r="G5" s="108">
        <f>'NIVEAU WAARDE - vorig jaar'!D9</f>
        <v>1.1000000000000001</v>
      </c>
      <c r="H5" s="109">
        <f>'NIVEAU WAARDE - 1e toetsperiode'!D9</f>
        <v>1</v>
      </c>
      <c r="I5" s="110" t="str">
        <f>IF(H5=0,"",IF(H5&gt;4.5,"A-1+",IF(H5&gt;4,"A-1",IF(H5&gt;=4,"A-2",IF(H5&gt;3.4,"B-2",IF(H5&gt;=3,"B-3",IF(H5&gt;2.5,"C-3",IF(H5&gt;=2,"C-4",IF(H5&gt;1.6,"D-4",IF(H5&gt;=1,"D-5",IF(H5&gt;0.5,"E-5",IF(H5&gt;=0,"E-5-"))))))))))))</f>
        <v>D-5</v>
      </c>
      <c r="J5" s="433">
        <v>4</v>
      </c>
      <c r="K5" s="556" t="s">
        <v>352</v>
      </c>
      <c r="L5" s="30" t="s">
        <v>369</v>
      </c>
      <c r="M5" s="366" t="s">
        <v>246</v>
      </c>
      <c r="N5" s="112"/>
      <c r="O5" s="113"/>
    </row>
    <row r="6" spans="1:24" ht="19.5" customHeight="1" x14ac:dyDescent="0.25">
      <c r="A6" s="103"/>
      <c r="B6" s="913"/>
      <c r="C6" s="114" t="s">
        <v>69</v>
      </c>
      <c r="D6" s="105">
        <v>0</v>
      </c>
      <c r="E6" s="106">
        <v>2</v>
      </c>
      <c r="F6" s="107" t="str">
        <f>BEGINBLAD!C6</f>
        <v>leerling 2</v>
      </c>
      <c r="G6" s="108">
        <f>'NIVEAU WAARDE - vorig jaar'!D10</f>
        <v>3.2</v>
      </c>
      <c r="H6" s="109">
        <f>'NIVEAU WAARDE - 1e toetsperiode'!D10</f>
        <v>3.9</v>
      </c>
      <c r="I6" s="110" t="str">
        <f t="shared" ref="I6:I40" si="0">IF(H6=0,"",IF(H6&gt;4.5,"A-1+",IF(H6&gt;4,"A-1",IF(H6&gt;=4,"A-2",IF(H6&gt;3.4,"B-2",IF(H6&gt;=3,"B-3",IF(H6&gt;2.5,"C-3",IF(H6&gt;=2,"C-4",IF(H6&gt;1.6,"D-4",IF(H6&gt;=1,"D-5",IF(H6&gt;0.5,"E-5",IF(H6&gt;=0,"E-5-"))))))))))))</f>
        <v>B-2</v>
      </c>
      <c r="J6" s="433">
        <v>3</v>
      </c>
      <c r="K6" s="556" t="s">
        <v>353</v>
      </c>
      <c r="L6" s="30" t="s">
        <v>353</v>
      </c>
      <c r="M6" s="366" t="s">
        <v>245</v>
      </c>
      <c r="N6" s="112"/>
      <c r="O6" s="113"/>
      <c r="R6" s="158"/>
      <c r="S6" s="158"/>
      <c r="T6" s="158"/>
      <c r="U6" s="158"/>
      <c r="V6" s="158"/>
    </row>
    <row r="7" spans="1:24" ht="19.5" customHeight="1" x14ac:dyDescent="0.25">
      <c r="A7" s="115"/>
      <c r="B7" s="369">
        <v>8</v>
      </c>
      <c r="C7" s="370" t="s">
        <v>460</v>
      </c>
      <c r="D7" s="105">
        <v>0</v>
      </c>
      <c r="E7" s="106">
        <v>3</v>
      </c>
      <c r="F7" s="107" t="str">
        <f>BEGINBLAD!C7</f>
        <v>leerling 3</v>
      </c>
      <c r="G7" s="108">
        <f>'NIVEAU WAARDE - vorig jaar'!D11</f>
        <v>2.9</v>
      </c>
      <c r="H7" s="109">
        <f>'NIVEAU WAARDE - 1e toetsperiode'!D11</f>
        <v>3.6</v>
      </c>
      <c r="I7" s="110" t="str">
        <f t="shared" si="0"/>
        <v>B-2</v>
      </c>
      <c r="J7" s="433">
        <v>3</v>
      </c>
      <c r="K7" s="556" t="s">
        <v>354</v>
      </c>
      <c r="L7" s="30" t="s">
        <v>353</v>
      </c>
      <c r="M7" s="366" t="s">
        <v>245</v>
      </c>
      <c r="N7" s="112"/>
      <c r="O7" s="113"/>
      <c r="R7" s="159"/>
      <c r="S7" s="159"/>
      <c r="T7" s="159"/>
      <c r="U7" s="159"/>
      <c r="V7" s="159"/>
    </row>
    <row r="8" spans="1:24" ht="19.5" customHeight="1" x14ac:dyDescent="0.25">
      <c r="A8" s="115"/>
      <c r="B8" s="369">
        <v>8</v>
      </c>
      <c r="C8" s="371" t="s">
        <v>461</v>
      </c>
      <c r="D8" s="118">
        <v>0</v>
      </c>
      <c r="E8" s="106">
        <v>4</v>
      </c>
      <c r="F8" s="107" t="str">
        <f>BEGINBLAD!C8</f>
        <v>leerling 4</v>
      </c>
      <c r="G8" s="108">
        <f>'NIVEAU WAARDE - vorig jaar'!D12</f>
        <v>4.3</v>
      </c>
      <c r="H8" s="109">
        <f>'NIVEAU WAARDE - 1e toetsperiode'!D12</f>
        <v>4.5</v>
      </c>
      <c r="I8" s="110" t="str">
        <f t="shared" si="0"/>
        <v>A-1</v>
      </c>
      <c r="J8" s="433">
        <v>1</v>
      </c>
      <c r="K8" s="557" t="s">
        <v>353</v>
      </c>
      <c r="L8" s="30" t="s">
        <v>353</v>
      </c>
      <c r="M8" s="366" t="s">
        <v>245</v>
      </c>
      <c r="N8" s="112"/>
      <c r="O8" s="120"/>
      <c r="R8" s="159"/>
      <c r="S8" s="159"/>
      <c r="T8" s="159"/>
      <c r="U8" s="159"/>
      <c r="V8" s="159"/>
    </row>
    <row r="9" spans="1:24" ht="19.5" customHeight="1" x14ac:dyDescent="0.25">
      <c r="A9" s="115"/>
      <c r="B9" s="369">
        <v>8</v>
      </c>
      <c r="C9" s="371" t="s">
        <v>462</v>
      </c>
      <c r="D9" s="121">
        <v>0</v>
      </c>
      <c r="E9" s="106">
        <v>5</v>
      </c>
      <c r="F9" s="107" t="str">
        <f>BEGINBLAD!C9</f>
        <v>leerling 5</v>
      </c>
      <c r="G9" s="108">
        <f>'NIVEAU WAARDE - vorig jaar'!D13</f>
        <v>3.3</v>
      </c>
      <c r="H9" s="109">
        <f>'NIVEAU WAARDE - 1e toetsperiode'!D13</f>
        <v>4.3</v>
      </c>
      <c r="I9" s="110" t="str">
        <f t="shared" si="0"/>
        <v>A-1</v>
      </c>
      <c r="J9" s="433">
        <v>1</v>
      </c>
      <c r="K9" s="558" t="s">
        <v>353</v>
      </c>
      <c r="L9" s="367" t="s">
        <v>353</v>
      </c>
      <c r="M9" s="366" t="s">
        <v>245</v>
      </c>
      <c r="N9" s="112"/>
      <c r="O9" s="123"/>
      <c r="R9" s="159"/>
      <c r="S9" s="159"/>
      <c r="T9" s="159"/>
      <c r="U9" s="159"/>
      <c r="V9" s="159"/>
    </row>
    <row r="10" spans="1:24" ht="19.5" customHeight="1" x14ac:dyDescent="0.25">
      <c r="A10" s="115"/>
      <c r="B10" s="369">
        <v>8</v>
      </c>
      <c r="C10" s="371" t="s">
        <v>463</v>
      </c>
      <c r="D10" s="124">
        <v>0</v>
      </c>
      <c r="E10" s="106">
        <v>6</v>
      </c>
      <c r="F10" s="107" t="str">
        <f>BEGINBLAD!C10</f>
        <v>leerling 6</v>
      </c>
      <c r="G10" s="108">
        <f>'NIVEAU WAARDE - vorig jaar'!D14</f>
        <v>2.4</v>
      </c>
      <c r="H10" s="109">
        <f>'NIVEAU WAARDE - 1e toetsperiode'!D14</f>
        <v>2.9</v>
      </c>
      <c r="I10" s="110" t="str">
        <f t="shared" si="0"/>
        <v>C-3</v>
      </c>
      <c r="J10" s="433">
        <v>3</v>
      </c>
      <c r="K10" s="558" t="s">
        <v>353</v>
      </c>
      <c r="L10" s="367" t="s">
        <v>353</v>
      </c>
      <c r="M10" s="366" t="s">
        <v>245</v>
      </c>
      <c r="N10" s="112"/>
      <c r="O10" s="125"/>
      <c r="R10" s="159"/>
      <c r="S10" s="159"/>
      <c r="T10" s="159"/>
      <c r="U10" s="159"/>
      <c r="V10" s="159"/>
    </row>
    <row r="11" spans="1:24" ht="19.5" customHeight="1" x14ac:dyDescent="0.25">
      <c r="A11" s="115"/>
      <c r="B11" s="369">
        <v>8</v>
      </c>
      <c r="C11" s="371" t="s">
        <v>464</v>
      </c>
      <c r="D11" s="124">
        <v>0</v>
      </c>
      <c r="E11" s="106">
        <v>7</v>
      </c>
      <c r="F11" s="107" t="str">
        <f>BEGINBLAD!C11</f>
        <v>leerling 7</v>
      </c>
      <c r="G11" s="108">
        <f>'NIVEAU WAARDE - vorig jaar'!D15</f>
        <v>2.5</v>
      </c>
      <c r="H11" s="109">
        <f>'NIVEAU WAARDE - 1e toetsperiode'!D15</f>
        <v>2.9</v>
      </c>
      <c r="I11" s="110" t="str">
        <f t="shared" si="0"/>
        <v>C-3</v>
      </c>
      <c r="J11" s="433">
        <v>3</v>
      </c>
      <c r="K11" s="558" t="s">
        <v>353</v>
      </c>
      <c r="L11" s="367" t="s">
        <v>353</v>
      </c>
      <c r="M11" s="366" t="s">
        <v>245</v>
      </c>
      <c r="N11" s="112"/>
      <c r="O11" s="91"/>
      <c r="R11" s="159"/>
      <c r="S11" s="159"/>
      <c r="T11" s="159"/>
      <c r="U11" s="159"/>
      <c r="V11" s="159"/>
    </row>
    <row r="12" spans="1:24" ht="19.5" customHeight="1" x14ac:dyDescent="0.25">
      <c r="A12" s="115"/>
      <c r="B12" s="369"/>
      <c r="C12" s="371"/>
      <c r="D12" s="105">
        <v>0</v>
      </c>
      <c r="E12" s="106">
        <v>8</v>
      </c>
      <c r="F12" s="107" t="str">
        <f>BEGINBLAD!C12</f>
        <v>leerling 8</v>
      </c>
      <c r="G12" s="108">
        <f>'NIVEAU WAARDE - vorig jaar'!D16</f>
        <v>4.3</v>
      </c>
      <c r="H12" s="109">
        <f>'NIVEAU WAARDE - 1e toetsperiode'!D16</f>
        <v>4.3</v>
      </c>
      <c r="I12" s="110" t="str">
        <f t="shared" si="0"/>
        <v>A-1</v>
      </c>
      <c r="J12" s="433">
        <v>2</v>
      </c>
      <c r="K12" s="558" t="s">
        <v>353</v>
      </c>
      <c r="L12" s="367" t="s">
        <v>353</v>
      </c>
      <c r="M12" s="366" t="s">
        <v>245</v>
      </c>
      <c r="N12" s="112"/>
      <c r="O12" s="102"/>
      <c r="R12" s="159"/>
      <c r="S12" s="159"/>
      <c r="T12" s="159"/>
      <c r="U12" s="159"/>
      <c r="V12" s="159"/>
    </row>
    <row r="13" spans="1:24" ht="19.5" customHeight="1" x14ac:dyDescent="0.25">
      <c r="A13" s="115"/>
      <c r="B13" s="116"/>
      <c r="C13" s="117"/>
      <c r="D13" s="105">
        <v>0</v>
      </c>
      <c r="E13" s="106">
        <v>9</v>
      </c>
      <c r="F13" s="107" t="str">
        <f>BEGINBLAD!C13</f>
        <v>leerling 9</v>
      </c>
      <c r="G13" s="108">
        <f>'NIVEAU WAARDE - vorig jaar'!D17</f>
        <v>1.9</v>
      </c>
      <c r="H13" s="109">
        <f>'NIVEAU WAARDE - 1e toetsperiode'!D17</f>
        <v>3</v>
      </c>
      <c r="I13" s="110" t="str">
        <f t="shared" si="0"/>
        <v>B-3</v>
      </c>
      <c r="J13" s="433">
        <v>2</v>
      </c>
      <c r="K13" s="558" t="s">
        <v>354</v>
      </c>
      <c r="L13" s="367" t="s">
        <v>353</v>
      </c>
      <c r="M13" s="366" t="s">
        <v>245</v>
      </c>
      <c r="N13" s="112"/>
      <c r="O13" s="113"/>
      <c r="R13" s="160"/>
      <c r="S13" s="160"/>
      <c r="T13" s="160"/>
      <c r="U13" s="160"/>
      <c r="V13" s="160"/>
    </row>
    <row r="14" spans="1:24" ht="19.5" customHeight="1" thickBot="1" x14ac:dyDescent="0.3">
      <c r="A14" s="115"/>
      <c r="B14" s="116"/>
      <c r="C14" s="117"/>
      <c r="D14" s="105">
        <v>0</v>
      </c>
      <c r="E14" s="106">
        <v>10</v>
      </c>
      <c r="F14" s="107" t="str">
        <f>BEGINBLAD!C14</f>
        <v>leerling 10</v>
      </c>
      <c r="G14" s="108">
        <f>'NIVEAU WAARDE - vorig jaar'!D18</f>
        <v>4.0999999999999996</v>
      </c>
      <c r="H14" s="109">
        <f>'NIVEAU WAARDE - 1e toetsperiode'!D18</f>
        <v>4.2</v>
      </c>
      <c r="I14" s="110" t="str">
        <f t="shared" si="0"/>
        <v>A-1</v>
      </c>
      <c r="J14" s="433">
        <v>2</v>
      </c>
      <c r="K14" s="558" t="s">
        <v>353</v>
      </c>
      <c r="L14" s="367" t="s">
        <v>353</v>
      </c>
      <c r="M14" s="366" t="s">
        <v>245</v>
      </c>
      <c r="N14" s="112"/>
      <c r="O14" s="120"/>
      <c r="P14" s="126" t="s">
        <v>13</v>
      </c>
      <c r="R14" s="160"/>
      <c r="S14" s="160"/>
      <c r="T14" s="160"/>
      <c r="U14" s="160"/>
      <c r="V14" s="160"/>
    </row>
    <row r="15" spans="1:24" ht="19.5" customHeight="1" x14ac:dyDescent="0.25">
      <c r="A15" s="115"/>
      <c r="B15" s="116"/>
      <c r="C15" s="117"/>
      <c r="D15" s="105">
        <v>0</v>
      </c>
      <c r="E15" s="106">
        <v>11</v>
      </c>
      <c r="F15" s="107" t="str">
        <f>BEGINBLAD!C15</f>
        <v>leerling 11</v>
      </c>
      <c r="G15" s="108">
        <f>'NIVEAU WAARDE - vorig jaar'!D19</f>
        <v>3.6</v>
      </c>
      <c r="H15" s="109">
        <f>'NIVEAU WAARDE - 1e toetsperiode'!D19</f>
        <v>3.2</v>
      </c>
      <c r="I15" s="110" t="str">
        <f t="shared" si="0"/>
        <v>B-3</v>
      </c>
      <c r="J15" s="433">
        <v>3</v>
      </c>
      <c r="K15" s="558" t="s">
        <v>354</v>
      </c>
      <c r="L15" s="367" t="s">
        <v>353</v>
      </c>
      <c r="M15" s="366" t="s">
        <v>245</v>
      </c>
      <c r="N15" s="112"/>
      <c r="O15" s="957" t="s">
        <v>70</v>
      </c>
      <c r="P15" s="962" t="str">
        <f>'INTENSIEF - 1e periode'!C6</f>
        <v>Leesniveau niveauwaarde minimaal 0,5 punt omhoog, Avi minimaal één Avi omhoog</v>
      </c>
      <c r="R15" s="160"/>
      <c r="S15" s="160"/>
      <c r="T15" s="160"/>
      <c r="U15" s="160"/>
      <c r="V15" s="160"/>
    </row>
    <row r="16" spans="1:24" ht="19.5" customHeight="1" x14ac:dyDescent="0.25">
      <c r="A16" s="115"/>
      <c r="B16" s="116"/>
      <c r="C16" s="117"/>
      <c r="D16" s="105">
        <v>0</v>
      </c>
      <c r="E16" s="106">
        <v>12</v>
      </c>
      <c r="F16" s="107" t="str">
        <f>BEGINBLAD!C16</f>
        <v>leerling 12</v>
      </c>
      <c r="G16" s="108">
        <f>'NIVEAU WAARDE - vorig jaar'!D20</f>
        <v>2</v>
      </c>
      <c r="H16" s="109">
        <f>'NIVEAU WAARDE - 1e toetsperiode'!D20</f>
        <v>2.8</v>
      </c>
      <c r="I16" s="110" t="str">
        <f t="shared" si="0"/>
        <v>C-3</v>
      </c>
      <c r="J16" s="433">
        <v>3</v>
      </c>
      <c r="K16" s="558" t="s">
        <v>355</v>
      </c>
      <c r="L16" s="367" t="s">
        <v>354</v>
      </c>
      <c r="M16" s="366" t="s">
        <v>245</v>
      </c>
      <c r="N16" s="112"/>
      <c r="O16" s="958"/>
      <c r="P16" s="963"/>
      <c r="R16" s="160"/>
      <c r="S16" s="160"/>
      <c r="T16" s="160"/>
      <c r="U16" s="160"/>
      <c r="V16" s="160"/>
    </row>
    <row r="17" spans="1:24" ht="19.5" customHeight="1" x14ac:dyDescent="0.25">
      <c r="A17" s="115"/>
      <c r="B17" s="116"/>
      <c r="C17" s="117"/>
      <c r="D17" s="118">
        <v>0</v>
      </c>
      <c r="E17" s="106">
        <v>13</v>
      </c>
      <c r="F17" s="107" t="str">
        <f>BEGINBLAD!C17</f>
        <v>leerling 13</v>
      </c>
      <c r="G17" s="108">
        <f>'NIVEAU WAARDE - vorig jaar'!D21</f>
        <v>1.8</v>
      </c>
      <c r="H17" s="109">
        <f>'NIVEAU WAARDE - 1e toetsperiode'!D21</f>
        <v>2.2999999999999998</v>
      </c>
      <c r="I17" s="110" t="str">
        <f t="shared" si="0"/>
        <v>C-4</v>
      </c>
      <c r="J17" s="433">
        <v>4</v>
      </c>
      <c r="K17" s="558" t="s">
        <v>354</v>
      </c>
      <c r="L17" s="367" t="s">
        <v>356</v>
      </c>
      <c r="M17" s="366" t="s">
        <v>246</v>
      </c>
      <c r="N17" s="112"/>
      <c r="O17" s="966" t="s">
        <v>71</v>
      </c>
      <c r="P17" s="964" t="str">
        <f>'INTENSIEF - 1e periode'!C8</f>
        <v xml:space="preserve">Maandag- en woensdagochtend leesgroepje o.b.v. leerkracht. Overige dagen lezen in een leesboek, toneellezen 2x per week. 
Oefenen met tempo, intonatie, lezen van leestekens. </v>
      </c>
      <c r="R17" s="133"/>
      <c r="S17" s="133"/>
      <c r="T17" s="133"/>
      <c r="U17" s="133"/>
      <c r="V17" s="133"/>
    </row>
    <row r="18" spans="1:24" ht="19.5" customHeight="1" x14ac:dyDescent="0.25">
      <c r="A18" s="115"/>
      <c r="B18" s="116"/>
      <c r="C18" s="117"/>
      <c r="D18" s="124">
        <v>0</v>
      </c>
      <c r="E18" s="106">
        <v>14</v>
      </c>
      <c r="F18" s="107" t="str">
        <f>BEGINBLAD!C18</f>
        <v>leerling 14</v>
      </c>
      <c r="G18" s="108">
        <f>'NIVEAU WAARDE - vorig jaar'!D22</f>
        <v>0.9</v>
      </c>
      <c r="H18" s="109">
        <f>'NIVEAU WAARDE - 1e toetsperiode'!D22</f>
        <v>1.3</v>
      </c>
      <c r="I18" s="110" t="str">
        <f t="shared" si="0"/>
        <v>D-5</v>
      </c>
      <c r="J18" s="433">
        <v>4</v>
      </c>
      <c r="K18" s="558" t="s">
        <v>354</v>
      </c>
      <c r="L18" s="367" t="s">
        <v>353</v>
      </c>
      <c r="M18" s="366" t="s">
        <v>245</v>
      </c>
      <c r="N18" s="112"/>
      <c r="O18" s="966"/>
      <c r="P18" s="964"/>
      <c r="Q18" s="103"/>
      <c r="R18" s="127"/>
      <c r="S18" s="127"/>
      <c r="T18" s="127"/>
      <c r="U18" s="127"/>
      <c r="V18" s="127"/>
      <c r="W18" s="127"/>
    </row>
    <row r="19" spans="1:24" ht="19.5" customHeight="1" x14ac:dyDescent="0.3">
      <c r="D19" s="124">
        <v>0</v>
      </c>
      <c r="E19" s="106">
        <v>15</v>
      </c>
      <c r="F19" s="107" t="str">
        <f>BEGINBLAD!C19</f>
        <v>leerling 15</v>
      </c>
      <c r="G19" s="108">
        <f>'NIVEAU WAARDE - vorig jaar'!D23</f>
        <v>3.3</v>
      </c>
      <c r="H19" s="109">
        <f>'NIVEAU WAARDE - 1e toetsperiode'!D23</f>
        <v>3.6</v>
      </c>
      <c r="I19" s="110" t="str">
        <f t="shared" si="0"/>
        <v>B-2</v>
      </c>
      <c r="J19" s="433">
        <v>3</v>
      </c>
      <c r="K19" s="557" t="s">
        <v>353</v>
      </c>
      <c r="L19" s="367" t="s">
        <v>353</v>
      </c>
      <c r="M19" s="366" t="s">
        <v>245</v>
      </c>
      <c r="N19" s="112"/>
      <c r="O19" s="966"/>
      <c r="P19" s="964"/>
      <c r="Q19" s="129"/>
      <c r="R19" s="130"/>
      <c r="S19" s="130"/>
      <c r="T19" s="130"/>
      <c r="U19" s="131"/>
      <c r="V19" s="131"/>
      <c r="W19" s="131"/>
      <c r="X19" s="132"/>
    </row>
    <row r="20" spans="1:24" ht="19.5" customHeight="1" x14ac:dyDescent="0.25">
      <c r="D20" s="124">
        <v>0</v>
      </c>
      <c r="E20" s="106">
        <v>16</v>
      </c>
      <c r="F20" s="107" t="str">
        <f>BEGINBLAD!C20</f>
        <v>leerling 16</v>
      </c>
      <c r="G20" s="108">
        <f>'NIVEAU WAARDE - vorig jaar'!D24</f>
        <v>2.2000000000000002</v>
      </c>
      <c r="H20" s="109">
        <f>'NIVEAU WAARDE - 1e toetsperiode'!D24</f>
        <v>3.2</v>
      </c>
      <c r="I20" s="110" t="str">
        <f t="shared" si="0"/>
        <v>B-3</v>
      </c>
      <c r="J20" s="433">
        <v>3</v>
      </c>
      <c r="K20" s="557" t="s">
        <v>353</v>
      </c>
      <c r="L20" s="30" t="s">
        <v>353</v>
      </c>
      <c r="M20" s="366" t="s">
        <v>245</v>
      </c>
      <c r="N20" s="112"/>
      <c r="O20" s="966"/>
      <c r="P20" s="964"/>
      <c r="Q20" s="129"/>
      <c r="R20" s="133"/>
      <c r="S20" s="133"/>
      <c r="T20" s="133"/>
      <c r="U20" s="133"/>
      <c r="V20" s="133"/>
      <c r="W20" s="133"/>
    </row>
    <row r="21" spans="1:24" ht="19.5" customHeight="1" x14ac:dyDescent="0.25">
      <c r="D21" s="124">
        <v>0</v>
      </c>
      <c r="E21" s="106">
        <v>17</v>
      </c>
      <c r="F21" s="107" t="str">
        <f>BEGINBLAD!C21</f>
        <v>leerling 17</v>
      </c>
      <c r="G21" s="108">
        <f>'NIVEAU WAARDE - vorig jaar'!D25</f>
        <v>4.3</v>
      </c>
      <c r="H21" s="109">
        <f>'NIVEAU WAARDE - 1e toetsperiode'!D25</f>
        <v>4.5</v>
      </c>
      <c r="I21" s="110" t="str">
        <f t="shared" si="0"/>
        <v>A-1</v>
      </c>
      <c r="J21" s="433">
        <v>2</v>
      </c>
      <c r="K21" s="557" t="s">
        <v>353</v>
      </c>
      <c r="L21" s="30" t="s">
        <v>353</v>
      </c>
      <c r="M21" s="366" t="s">
        <v>245</v>
      </c>
      <c r="N21" s="112"/>
      <c r="O21" s="966"/>
      <c r="P21" s="964"/>
      <c r="Q21" s="129"/>
      <c r="R21" s="133"/>
      <c r="S21" s="133"/>
      <c r="T21" s="133"/>
      <c r="U21" s="133"/>
      <c r="V21" s="133"/>
      <c r="W21" s="133"/>
    </row>
    <row r="22" spans="1:24" ht="19.5" customHeight="1" x14ac:dyDescent="0.25">
      <c r="D22" s="124">
        <v>0</v>
      </c>
      <c r="E22" s="106">
        <v>18</v>
      </c>
      <c r="F22" s="107" t="str">
        <f>BEGINBLAD!C22</f>
        <v>leerling 18</v>
      </c>
      <c r="G22" s="108">
        <f>'NIVEAU WAARDE - vorig jaar'!D26</f>
        <v>2.6</v>
      </c>
      <c r="H22" s="109">
        <f>'NIVEAU WAARDE - 1e toetsperiode'!D26</f>
        <v>2.5</v>
      </c>
      <c r="I22" s="110" t="str">
        <f t="shared" si="0"/>
        <v>C-4</v>
      </c>
      <c r="J22" s="433">
        <v>2</v>
      </c>
      <c r="K22" s="556" t="s">
        <v>356</v>
      </c>
      <c r="L22" s="368" t="s">
        <v>354</v>
      </c>
      <c r="M22" s="366" t="s">
        <v>246</v>
      </c>
      <c r="N22" s="112"/>
      <c r="O22" s="966"/>
      <c r="P22" s="964"/>
      <c r="Q22" s="129"/>
      <c r="R22" s="133"/>
      <c r="S22" s="133"/>
      <c r="T22" s="133"/>
      <c r="U22" s="133"/>
      <c r="V22" s="133"/>
      <c r="W22" s="133"/>
    </row>
    <row r="23" spans="1:24" ht="19.5" customHeight="1" x14ac:dyDescent="0.25">
      <c r="B23" s="135"/>
      <c r="C23" s="135"/>
      <c r="D23" s="124">
        <v>0</v>
      </c>
      <c r="E23" s="106">
        <v>19</v>
      </c>
      <c r="F23" s="107" t="str">
        <f>BEGINBLAD!C23</f>
        <v>leerling 19</v>
      </c>
      <c r="G23" s="108">
        <f>'NIVEAU WAARDE - vorig jaar'!D27</f>
        <v>2.2999999999999998</v>
      </c>
      <c r="H23" s="109">
        <f>'NIVEAU WAARDE - 1e toetsperiode'!D27</f>
        <v>3.1</v>
      </c>
      <c r="I23" s="110" t="str">
        <f t="shared" si="0"/>
        <v>B-3</v>
      </c>
      <c r="J23" s="433">
        <v>3</v>
      </c>
      <c r="K23" s="557" t="s">
        <v>353</v>
      </c>
      <c r="L23" s="368" t="s">
        <v>353</v>
      </c>
      <c r="M23" s="366" t="s">
        <v>245</v>
      </c>
      <c r="N23" s="112"/>
      <c r="O23" s="966"/>
      <c r="P23" s="964"/>
    </row>
    <row r="24" spans="1:24" ht="19.5" customHeight="1" thickBot="1" x14ac:dyDescent="0.3">
      <c r="B24" s="136"/>
      <c r="C24" s="135"/>
      <c r="D24" s="124">
        <v>0</v>
      </c>
      <c r="E24" s="106">
        <v>20</v>
      </c>
      <c r="F24" s="107" t="str">
        <f>BEGINBLAD!C24</f>
        <v>leerling 20</v>
      </c>
      <c r="G24" s="108">
        <f>'NIVEAU WAARDE - vorig jaar'!D28</f>
        <v>1.2</v>
      </c>
      <c r="H24" s="109">
        <f>'NIVEAU WAARDE - 1e toetsperiode'!D28</f>
        <v>1.8</v>
      </c>
      <c r="I24" s="110" t="str">
        <f t="shared" si="0"/>
        <v>D-4</v>
      </c>
      <c r="J24" s="433">
        <v>6</v>
      </c>
      <c r="K24" s="557" t="s">
        <v>357</v>
      </c>
      <c r="L24" s="368" t="s">
        <v>358</v>
      </c>
      <c r="M24" s="366" t="s">
        <v>246</v>
      </c>
      <c r="N24" s="112"/>
      <c r="O24" s="967"/>
      <c r="P24" s="965"/>
      <c r="Q24" s="129"/>
      <c r="R24" s="133"/>
      <c r="S24" s="133"/>
      <c r="T24" s="133"/>
      <c r="U24" s="133"/>
      <c r="V24" s="133"/>
      <c r="W24" s="133"/>
    </row>
    <row r="25" spans="1:24" ht="19.5" customHeight="1" thickBot="1" x14ac:dyDescent="0.3">
      <c r="B25" s="136"/>
      <c r="C25" s="135"/>
      <c r="D25" s="124">
        <v>0</v>
      </c>
      <c r="E25" s="106">
        <v>21</v>
      </c>
      <c r="F25" s="107" t="str">
        <f>BEGINBLAD!C25</f>
        <v>leerling 21</v>
      </c>
      <c r="G25" s="108">
        <f>'NIVEAU WAARDE - vorig jaar'!D29</f>
        <v>2.8</v>
      </c>
      <c r="H25" s="109">
        <f>'NIVEAU WAARDE - 1e toetsperiode'!D29</f>
        <v>3.6</v>
      </c>
      <c r="I25" s="110" t="str">
        <f t="shared" si="0"/>
        <v>B-2</v>
      </c>
      <c r="J25" s="433">
        <v>3</v>
      </c>
      <c r="K25" s="557" t="s">
        <v>353</v>
      </c>
      <c r="L25" s="368" t="s">
        <v>353</v>
      </c>
      <c r="M25" s="366" t="s">
        <v>245</v>
      </c>
      <c r="N25" s="112"/>
      <c r="O25" s="120"/>
      <c r="P25" s="126" t="s">
        <v>14</v>
      </c>
      <c r="Q25" s="129"/>
      <c r="R25" s="133"/>
      <c r="S25" s="133"/>
      <c r="T25" s="133"/>
      <c r="U25" s="133"/>
      <c r="V25" s="133"/>
      <c r="W25" s="133"/>
    </row>
    <row r="26" spans="1:24" ht="19.5" customHeight="1" x14ac:dyDescent="0.25">
      <c r="D26" s="124">
        <v>0</v>
      </c>
      <c r="E26" s="106">
        <v>22</v>
      </c>
      <c r="F26" s="107" t="str">
        <f>BEGINBLAD!C26</f>
        <v>leerling 22</v>
      </c>
      <c r="G26" s="108">
        <f>'NIVEAU WAARDE - vorig jaar'!D30</f>
        <v>4.3</v>
      </c>
      <c r="H26" s="109">
        <f>'NIVEAU WAARDE - 1e toetsperiode'!D30</f>
        <v>4.2</v>
      </c>
      <c r="I26" s="110" t="str">
        <f t="shared" si="0"/>
        <v>A-1</v>
      </c>
      <c r="J26" s="433">
        <v>1</v>
      </c>
      <c r="K26" s="557" t="s">
        <v>353</v>
      </c>
      <c r="L26" s="368" t="s">
        <v>353</v>
      </c>
      <c r="M26" s="366" t="s">
        <v>245</v>
      </c>
      <c r="N26" s="112"/>
      <c r="O26" s="957" t="s">
        <v>70</v>
      </c>
      <c r="P26" s="962" t="str">
        <f>'BASISAANPAK - 1e periode'!C6</f>
        <v xml:space="preserve"> - woordleesniveau: niveauwaarden 0,5 punten omhoog
 - AVI niveau minimaal één niveau omhoog
 - leesplezier bevorderen</v>
      </c>
      <c r="Q26" s="103"/>
      <c r="R26" s="127"/>
      <c r="S26" s="127"/>
      <c r="T26" s="127"/>
      <c r="U26" s="127"/>
      <c r="V26" s="127"/>
      <c r="W26" s="127"/>
    </row>
    <row r="27" spans="1:24" s="139" customFormat="1" ht="19.5" customHeight="1" x14ac:dyDescent="0.55000000000000004">
      <c r="A27" s="103"/>
      <c r="B27" s="913" t="s">
        <v>2</v>
      </c>
      <c r="C27" s="104" t="s">
        <v>72</v>
      </c>
      <c r="D27" s="118">
        <v>0</v>
      </c>
      <c r="E27" s="106">
        <v>23</v>
      </c>
      <c r="F27" s="107" t="str">
        <f>BEGINBLAD!C27</f>
        <v>leerling 23</v>
      </c>
      <c r="G27" s="108">
        <f>'NIVEAU WAARDE - vorig jaar'!D31</f>
        <v>4.8</v>
      </c>
      <c r="H27" s="109">
        <f>'NIVEAU WAARDE - 1e toetsperiode'!D31</f>
        <v>4.8</v>
      </c>
      <c r="I27" s="110" t="str">
        <f t="shared" si="0"/>
        <v>A-1+</v>
      </c>
      <c r="J27" s="433">
        <v>1</v>
      </c>
      <c r="K27" s="557" t="s">
        <v>353</v>
      </c>
      <c r="L27" s="368" t="s">
        <v>353</v>
      </c>
      <c r="M27" s="366" t="s">
        <v>245</v>
      </c>
      <c r="N27" s="112"/>
      <c r="O27" s="958"/>
      <c r="P27" s="963"/>
      <c r="Q27" s="138"/>
      <c r="R27" s="138"/>
      <c r="S27" s="138"/>
      <c r="T27" s="138"/>
      <c r="U27" s="138"/>
      <c r="V27" s="138"/>
      <c r="W27" s="138"/>
    </row>
    <row r="28" spans="1:24" ht="19.5" customHeight="1" x14ac:dyDescent="0.6">
      <c r="A28" s="103"/>
      <c r="B28" s="913"/>
      <c r="C28" s="114" t="s">
        <v>69</v>
      </c>
      <c r="D28" s="118">
        <v>0</v>
      </c>
      <c r="E28" s="106">
        <v>24</v>
      </c>
      <c r="F28" s="107" t="str">
        <f>BEGINBLAD!C28</f>
        <v>leerling 24</v>
      </c>
      <c r="G28" s="108">
        <f>'NIVEAU WAARDE - vorig jaar'!D32</f>
        <v>1.7</v>
      </c>
      <c r="H28" s="109">
        <f>'NIVEAU WAARDE - 1e toetsperiode'!D32</f>
        <v>1.8</v>
      </c>
      <c r="I28" s="110" t="str">
        <f t="shared" si="0"/>
        <v>D-4</v>
      </c>
      <c r="J28" s="433">
        <v>3</v>
      </c>
      <c r="K28" s="557" t="s">
        <v>358</v>
      </c>
      <c r="L28" s="368" t="s">
        <v>369</v>
      </c>
      <c r="M28" s="366" t="s">
        <v>246</v>
      </c>
      <c r="N28" s="112"/>
      <c r="O28" s="958" t="s">
        <v>71</v>
      </c>
      <c r="P28" s="968" t="str">
        <f>'BASISAANPAK - 1e periode'!C8</f>
        <v xml:space="preserve"> - 2x per week toneellezen/ stillezen 1x per week
 - tijdens hardop lezen letten op het op toon lezen = leesbegrip
 - daarnaast ook nog stilleesmomenten
 - voorlezen door de leerkracht = boekpromotie. Plezier in het lezen bevorderen
- tutorlezen met groep 3
- boekenkring 1x per week om lezen te promoten</v>
      </c>
      <c r="Q28" s="91"/>
      <c r="R28" s="140"/>
      <c r="S28" s="102"/>
      <c r="T28" s="102"/>
      <c r="U28" s="102"/>
      <c r="V28" s="102"/>
      <c r="W28" s="102"/>
    </row>
    <row r="29" spans="1:24" ht="19.5" customHeight="1" x14ac:dyDescent="0.25">
      <c r="A29" s="115"/>
      <c r="B29" s="369"/>
      <c r="C29" s="371"/>
      <c r="D29" s="105">
        <v>0</v>
      </c>
      <c r="E29" s="106">
        <v>25</v>
      </c>
      <c r="F29" s="107" t="str">
        <f>BEGINBLAD!C29</f>
        <v>leerling 25</v>
      </c>
      <c r="G29" s="108">
        <f>'NIVEAU WAARDE - vorig jaar'!D33</f>
        <v>1.9</v>
      </c>
      <c r="H29" s="109">
        <f>'NIVEAU WAARDE - 1e toetsperiode'!D33</f>
        <v>2.5</v>
      </c>
      <c r="I29" s="110" t="str">
        <f t="shared" si="0"/>
        <v>C-4</v>
      </c>
      <c r="J29" s="433">
        <v>3</v>
      </c>
      <c r="K29" s="557" t="s">
        <v>356</v>
      </c>
      <c r="L29" s="368" t="s">
        <v>353</v>
      </c>
      <c r="M29" s="366" t="s">
        <v>245</v>
      </c>
      <c r="N29" s="112"/>
      <c r="O29" s="958"/>
      <c r="P29" s="968"/>
      <c r="Q29" s="141"/>
      <c r="R29" s="130"/>
      <c r="S29" s="130"/>
      <c r="T29" s="130"/>
      <c r="U29" s="130"/>
      <c r="V29" s="130"/>
      <c r="W29" s="130"/>
    </row>
    <row r="30" spans="1:24" ht="19.5" customHeight="1" x14ac:dyDescent="0.25">
      <c r="A30" s="115"/>
      <c r="B30" s="369"/>
      <c r="C30" s="371"/>
      <c r="D30" s="105">
        <v>0</v>
      </c>
      <c r="E30" s="106">
        <v>26</v>
      </c>
      <c r="F30" s="107" t="str">
        <f>BEGINBLAD!C30</f>
        <v>leerling 26</v>
      </c>
      <c r="G30" s="108">
        <f>'NIVEAU WAARDE - vorig jaar'!D34</f>
        <v>1.8</v>
      </c>
      <c r="H30" s="109">
        <f>'NIVEAU WAARDE - 1e toetsperiode'!D34</f>
        <v>1.2</v>
      </c>
      <c r="I30" s="110" t="str">
        <f t="shared" si="0"/>
        <v>D-5</v>
      </c>
      <c r="J30" s="433"/>
      <c r="K30" s="522"/>
      <c r="L30" s="368"/>
      <c r="M30" s="366"/>
      <c r="N30" s="112"/>
      <c r="O30" s="958"/>
      <c r="P30" s="968"/>
      <c r="Q30" s="129"/>
      <c r="R30" s="133"/>
      <c r="S30" s="133"/>
      <c r="T30" s="133"/>
      <c r="U30" s="133"/>
      <c r="V30" s="133"/>
      <c r="W30" s="133"/>
    </row>
    <row r="31" spans="1:24" ht="19.5" customHeight="1" x14ac:dyDescent="0.25">
      <c r="A31" s="115"/>
      <c r="B31" s="369"/>
      <c r="C31" s="371"/>
      <c r="D31" s="105">
        <v>0</v>
      </c>
      <c r="E31" s="106">
        <v>27</v>
      </c>
      <c r="F31" s="107">
        <f>BEGINBLAD!C31</f>
        <v>0</v>
      </c>
      <c r="G31" s="108">
        <f>'NIVEAU WAARDE - vorig jaar'!D35</f>
        <v>0</v>
      </c>
      <c r="H31" s="109">
        <f>'NIVEAU WAARDE - 1e toetsperiode'!D35</f>
        <v>0</v>
      </c>
      <c r="I31" s="110" t="str">
        <f t="shared" si="0"/>
        <v/>
      </c>
      <c r="J31" s="433"/>
      <c r="K31" s="522"/>
      <c r="L31" s="368"/>
      <c r="M31" s="366"/>
      <c r="N31" s="112"/>
      <c r="O31" s="958"/>
      <c r="P31" s="968"/>
      <c r="Q31" s="129"/>
      <c r="R31" s="133"/>
      <c r="S31" s="133"/>
      <c r="T31" s="133"/>
      <c r="U31" s="133"/>
      <c r="V31" s="133"/>
      <c r="W31" s="133"/>
    </row>
    <row r="32" spans="1:24" ht="19.5" customHeight="1" x14ac:dyDescent="0.25">
      <c r="A32" s="115"/>
      <c r="B32" s="369"/>
      <c r="C32" s="371"/>
      <c r="D32" s="105">
        <v>0</v>
      </c>
      <c r="E32" s="106">
        <v>28</v>
      </c>
      <c r="F32" s="107">
        <f>BEGINBLAD!C32</f>
        <v>0</v>
      </c>
      <c r="G32" s="108">
        <f>'NIVEAU WAARDE - vorig jaar'!D36</f>
        <v>0</v>
      </c>
      <c r="H32" s="109">
        <f>'NIVEAU WAARDE - 1e toetsperiode'!D36</f>
        <v>0</v>
      </c>
      <c r="I32" s="110" t="str">
        <f t="shared" si="0"/>
        <v/>
      </c>
      <c r="J32" s="433"/>
      <c r="K32" s="522"/>
      <c r="L32" s="513"/>
      <c r="M32" s="366"/>
      <c r="N32" s="112"/>
      <c r="O32" s="958"/>
      <c r="P32" s="968"/>
      <c r="Q32" s="129"/>
      <c r="R32" s="133"/>
      <c r="S32" s="133"/>
      <c r="T32" s="133"/>
      <c r="U32" s="133"/>
      <c r="V32" s="133"/>
      <c r="W32" s="133"/>
    </row>
    <row r="33" spans="1:27" ht="19.5" customHeight="1" x14ac:dyDescent="0.25">
      <c r="A33" s="115"/>
      <c r="B33" s="369"/>
      <c r="C33" s="371"/>
      <c r="D33" s="105">
        <v>0</v>
      </c>
      <c r="E33" s="106">
        <v>29</v>
      </c>
      <c r="F33" s="107">
        <f>BEGINBLAD!C33</f>
        <v>0</v>
      </c>
      <c r="G33" s="108">
        <f>'NIVEAU WAARDE - vorig jaar'!D37</f>
        <v>0</v>
      </c>
      <c r="H33" s="109">
        <f>'NIVEAU WAARDE - 1e toetsperiode'!D37</f>
        <v>0</v>
      </c>
      <c r="I33" s="110" t="str">
        <f t="shared" si="0"/>
        <v/>
      </c>
      <c r="J33" s="433"/>
      <c r="K33" s="522"/>
      <c r="L33" s="513"/>
      <c r="M33" s="366"/>
      <c r="N33" s="112"/>
      <c r="O33" s="958"/>
      <c r="P33" s="968"/>
      <c r="Q33" s="129"/>
      <c r="R33" s="133"/>
      <c r="S33" s="133"/>
      <c r="T33" s="133"/>
      <c r="U33" s="133"/>
      <c r="V33" s="133"/>
      <c r="W33" s="133"/>
    </row>
    <row r="34" spans="1:27" ht="19.5" customHeight="1" x14ac:dyDescent="0.25">
      <c r="A34" s="115"/>
      <c r="B34" s="116"/>
      <c r="C34" s="117"/>
      <c r="D34" s="105">
        <v>0</v>
      </c>
      <c r="E34" s="106">
        <v>30</v>
      </c>
      <c r="F34" s="107">
        <f>BEGINBLAD!C34</f>
        <v>0</v>
      </c>
      <c r="G34" s="108">
        <f>'NIVEAU WAARDE - vorig jaar'!D38</f>
        <v>0</v>
      </c>
      <c r="H34" s="109">
        <f>'NIVEAU WAARDE - 1e toetsperiode'!D38</f>
        <v>0</v>
      </c>
      <c r="I34" s="110" t="str">
        <f t="shared" si="0"/>
        <v/>
      </c>
      <c r="J34" s="433"/>
      <c r="K34" s="514"/>
      <c r="L34" s="513"/>
      <c r="M34" s="366"/>
      <c r="N34" s="112"/>
      <c r="O34" s="958"/>
      <c r="P34" s="968"/>
      <c r="Q34" s="129"/>
      <c r="R34" s="133"/>
      <c r="S34" s="133"/>
      <c r="T34" s="133"/>
      <c r="U34" s="133"/>
      <c r="V34" s="133"/>
      <c r="W34" s="133"/>
    </row>
    <row r="35" spans="1:27" ht="19.5" customHeight="1" thickBot="1" x14ac:dyDescent="0.3">
      <c r="A35" s="115"/>
      <c r="B35" s="116"/>
      <c r="C35" s="117"/>
      <c r="D35" s="105">
        <v>0</v>
      </c>
      <c r="E35" s="106">
        <v>31</v>
      </c>
      <c r="F35" s="107">
        <f>BEGINBLAD!C35</f>
        <v>0</v>
      </c>
      <c r="G35" s="108">
        <f>'NIVEAU WAARDE - vorig jaar'!D39</f>
        <v>0</v>
      </c>
      <c r="H35" s="109">
        <f>'NIVEAU WAARDE - 1e toetsperiode'!D39</f>
        <v>0</v>
      </c>
      <c r="I35" s="110" t="str">
        <f t="shared" si="0"/>
        <v/>
      </c>
      <c r="J35" s="433"/>
      <c r="K35" s="514"/>
      <c r="L35" s="513"/>
      <c r="M35" s="366"/>
      <c r="N35" s="112"/>
      <c r="O35" s="959"/>
      <c r="P35" s="969"/>
      <c r="Q35" s="129"/>
      <c r="R35" s="133"/>
      <c r="S35" s="133"/>
      <c r="T35" s="133"/>
      <c r="U35" s="133"/>
      <c r="V35" s="133"/>
      <c r="W35" s="133"/>
    </row>
    <row r="36" spans="1:27" ht="19.5" customHeight="1" thickBot="1" x14ac:dyDescent="0.3">
      <c r="A36" s="115"/>
      <c r="B36" s="116"/>
      <c r="C36" s="117"/>
      <c r="D36" s="105">
        <v>0</v>
      </c>
      <c r="E36" s="106">
        <v>32</v>
      </c>
      <c r="F36" s="107">
        <f>BEGINBLAD!C36</f>
        <v>0</v>
      </c>
      <c r="G36" s="108">
        <f>'NIVEAU WAARDE - vorig jaar'!D40</f>
        <v>0</v>
      </c>
      <c r="H36" s="109">
        <f>'NIVEAU WAARDE - 1e toetsperiode'!D40</f>
        <v>0</v>
      </c>
      <c r="I36" s="110" t="str">
        <f t="shared" si="0"/>
        <v/>
      </c>
      <c r="J36" s="433"/>
      <c r="K36" s="515"/>
      <c r="L36" s="513"/>
      <c r="M36" s="366"/>
      <c r="N36" s="112"/>
      <c r="O36" s="120"/>
      <c r="P36" s="126" t="s">
        <v>12</v>
      </c>
      <c r="Q36" s="129"/>
      <c r="R36" s="133"/>
      <c r="S36" s="133"/>
      <c r="T36" s="133"/>
      <c r="U36" s="133"/>
      <c r="V36" s="133"/>
      <c r="W36" s="133"/>
    </row>
    <row r="37" spans="1:27" ht="19.5" customHeight="1" x14ac:dyDescent="0.25">
      <c r="A37" s="115"/>
      <c r="B37" s="116"/>
      <c r="C37" s="117"/>
      <c r="D37" s="105">
        <v>0</v>
      </c>
      <c r="E37" s="106">
        <v>33</v>
      </c>
      <c r="F37" s="107">
        <f>BEGINBLAD!C37</f>
        <v>0</v>
      </c>
      <c r="G37" s="108">
        <f>'NIVEAU WAARDE - vorig jaar'!D41</f>
        <v>0</v>
      </c>
      <c r="H37" s="109">
        <f>'NIVEAU WAARDE - 1e toetsperiode'!D41</f>
        <v>0</v>
      </c>
      <c r="I37" s="110" t="str">
        <f t="shared" si="0"/>
        <v/>
      </c>
      <c r="J37" s="433"/>
      <c r="K37" s="515"/>
      <c r="L37" s="513"/>
      <c r="M37" s="366"/>
      <c r="N37" s="112"/>
      <c r="O37" s="957" t="s">
        <v>70</v>
      </c>
      <c r="P37" s="962" t="str">
        <f>'VERRIJKT - 1e periode'!C6</f>
        <v>Leesplezier bevorderen, leesniveau 0,5 punt omhoog, Avi één niveau omhoog (of behouden)</v>
      </c>
      <c r="Q37" s="129"/>
      <c r="R37" s="133"/>
      <c r="S37" s="133"/>
      <c r="T37" s="133"/>
      <c r="U37" s="133"/>
      <c r="V37" s="133"/>
      <c r="W37" s="133"/>
    </row>
    <row r="38" spans="1:27" ht="19.5" customHeight="1" x14ac:dyDescent="0.25">
      <c r="A38" s="115"/>
      <c r="B38" s="116"/>
      <c r="C38" s="117"/>
      <c r="D38" s="105">
        <v>0</v>
      </c>
      <c r="E38" s="106">
        <v>34</v>
      </c>
      <c r="F38" s="107">
        <f>BEGINBLAD!C38</f>
        <v>0</v>
      </c>
      <c r="G38" s="108">
        <f>'NIVEAU WAARDE - vorig jaar'!D42</f>
        <v>0</v>
      </c>
      <c r="H38" s="109">
        <f>'NIVEAU WAARDE - 1e toetsperiode'!D42</f>
        <v>0</v>
      </c>
      <c r="I38" s="110" t="str">
        <f t="shared" si="0"/>
        <v/>
      </c>
      <c r="J38" s="433"/>
      <c r="K38" s="515"/>
      <c r="L38" s="513"/>
      <c r="M38" s="366"/>
      <c r="N38" s="112"/>
      <c r="O38" s="958"/>
      <c r="P38" s="963"/>
      <c r="Q38" s="129"/>
      <c r="R38" s="133"/>
      <c r="S38" s="133"/>
      <c r="T38" s="133"/>
      <c r="U38" s="133"/>
      <c r="V38" s="133"/>
      <c r="W38" s="133"/>
    </row>
    <row r="39" spans="1:27" ht="19.5" customHeight="1" x14ac:dyDescent="0.25">
      <c r="A39" s="115"/>
      <c r="B39" s="116"/>
      <c r="C39" s="117"/>
      <c r="D39" s="105">
        <v>0</v>
      </c>
      <c r="E39" s="106">
        <v>35</v>
      </c>
      <c r="F39" s="107">
        <f>BEGINBLAD!C39</f>
        <v>0</v>
      </c>
      <c r="G39" s="108">
        <f>'NIVEAU WAARDE - vorig jaar'!D43</f>
        <v>0</v>
      </c>
      <c r="H39" s="109">
        <f>'NIVEAU WAARDE - 1e toetsperiode'!D43</f>
        <v>0</v>
      </c>
      <c r="I39" s="110" t="str">
        <f t="shared" si="0"/>
        <v/>
      </c>
      <c r="J39" s="433"/>
      <c r="K39" s="516"/>
      <c r="L39" s="513"/>
      <c r="M39" s="517"/>
      <c r="N39" s="112"/>
      <c r="O39" s="958" t="s">
        <v>71</v>
      </c>
      <c r="P39" s="955" t="str">
        <f>'VERRIJKT - 1e periode'!C8</f>
        <v xml:space="preserve">Tutorlezen met groep 3, Levelwerk, toneellezen </v>
      </c>
      <c r="Q39" s="129"/>
      <c r="R39" s="133"/>
      <c r="S39" s="133"/>
      <c r="T39" s="133"/>
      <c r="U39" s="133"/>
      <c r="V39" s="133"/>
      <c r="W39" s="133"/>
    </row>
    <row r="40" spans="1:27" s="103" customFormat="1" ht="19.5" customHeight="1" thickBot="1" x14ac:dyDescent="0.3">
      <c r="A40" s="115"/>
      <c r="B40" s="116"/>
      <c r="C40" s="117"/>
      <c r="D40" s="105">
        <v>0</v>
      </c>
      <c r="E40" s="142">
        <v>36</v>
      </c>
      <c r="F40" s="143">
        <f>BEGINBLAD!C40</f>
        <v>0</v>
      </c>
      <c r="G40" s="144">
        <f>'NIVEAU WAARDE - vorig jaar'!D44</f>
        <v>0</v>
      </c>
      <c r="H40" s="145">
        <f>'NIVEAU WAARDE - 1e toetsperiode'!D44</f>
        <v>0</v>
      </c>
      <c r="I40" s="146" t="str">
        <f t="shared" si="0"/>
        <v/>
      </c>
      <c r="J40" s="518"/>
      <c r="K40" s="519"/>
      <c r="L40" s="520"/>
      <c r="M40" s="521"/>
      <c r="N40" s="112"/>
      <c r="O40" s="958"/>
      <c r="P40" s="955"/>
      <c r="Q40" s="129"/>
      <c r="R40" s="133"/>
      <c r="S40" s="133"/>
      <c r="T40" s="133"/>
      <c r="U40" s="133"/>
      <c r="V40" s="133"/>
      <c r="W40" s="133"/>
      <c r="X40" s="127"/>
      <c r="Y40" s="127"/>
      <c r="Z40" s="127"/>
      <c r="AA40" s="127"/>
    </row>
    <row r="41" spans="1:27" ht="19.5" customHeight="1" thickBot="1" x14ac:dyDescent="0.35">
      <c r="A41" s="148"/>
      <c r="B41" s="149"/>
      <c r="C41" s="970" t="s">
        <v>13</v>
      </c>
      <c r="D41" s="970"/>
      <c r="E41" s="970"/>
      <c r="F41" s="970"/>
      <c r="G41" s="971" t="s">
        <v>12</v>
      </c>
      <c r="H41" s="971"/>
      <c r="I41" s="971"/>
      <c r="J41" s="971"/>
      <c r="K41" s="971"/>
      <c r="L41" s="971"/>
      <c r="M41" s="971"/>
      <c r="O41" s="958"/>
      <c r="P41" s="955"/>
      <c r="Q41" s="129"/>
      <c r="R41" s="150"/>
      <c r="S41" s="150"/>
      <c r="T41" s="150"/>
      <c r="U41" s="150"/>
      <c r="V41" s="150"/>
      <c r="W41" s="150"/>
    </row>
    <row r="42" spans="1:27" ht="19.5" customHeight="1" x14ac:dyDescent="0.25">
      <c r="A42" s="129"/>
      <c r="B42" s="169"/>
      <c r="C42" s="176" t="s">
        <v>73</v>
      </c>
      <c r="D42" s="972" t="s">
        <v>363</v>
      </c>
      <c r="E42" s="973"/>
      <c r="F42" s="974"/>
      <c r="G42" s="975" t="s">
        <v>73</v>
      </c>
      <c r="H42" s="976"/>
      <c r="I42" s="986" t="s">
        <v>361</v>
      </c>
      <c r="J42" s="987"/>
      <c r="K42" s="987"/>
      <c r="L42" s="987"/>
      <c r="M42" s="988"/>
      <c r="O42" s="958"/>
      <c r="P42" s="955"/>
      <c r="Q42" s="129"/>
      <c r="R42" s="150"/>
      <c r="S42" s="150"/>
      <c r="T42" s="150"/>
      <c r="U42" s="150"/>
      <c r="V42" s="150"/>
      <c r="W42" s="150"/>
    </row>
    <row r="43" spans="1:27" ht="19.5" customHeight="1" x14ac:dyDescent="0.25">
      <c r="A43" s="129"/>
      <c r="B43" s="170"/>
      <c r="C43" s="177" t="s">
        <v>74</v>
      </c>
      <c r="D43" s="977" t="s">
        <v>362</v>
      </c>
      <c r="E43" s="978"/>
      <c r="F43" s="979"/>
      <c r="G43" s="980" t="s">
        <v>74</v>
      </c>
      <c r="H43" s="981"/>
      <c r="I43" s="982" t="s">
        <v>361</v>
      </c>
      <c r="J43" s="983"/>
      <c r="K43" s="983"/>
      <c r="L43" s="983"/>
      <c r="M43" s="984"/>
      <c r="O43" s="958"/>
      <c r="P43" s="955"/>
      <c r="Q43" s="129"/>
      <c r="R43" s="150"/>
      <c r="S43" s="150"/>
      <c r="T43" s="150"/>
      <c r="U43" s="150"/>
      <c r="V43" s="150"/>
      <c r="W43" s="150"/>
    </row>
    <row r="44" spans="1:27" ht="19.5" customHeight="1" x14ac:dyDescent="0.25">
      <c r="A44" s="129"/>
      <c r="B44" s="170"/>
      <c r="C44" s="177" t="s">
        <v>75</v>
      </c>
      <c r="D44" s="977" t="s">
        <v>364</v>
      </c>
      <c r="E44" s="978"/>
      <c r="F44" s="979"/>
      <c r="G44" s="980" t="s">
        <v>75</v>
      </c>
      <c r="H44" s="981"/>
      <c r="I44" s="982" t="s">
        <v>366</v>
      </c>
      <c r="J44" s="983"/>
      <c r="K44" s="983"/>
      <c r="L44" s="983"/>
      <c r="M44" s="984"/>
      <c r="O44" s="958"/>
      <c r="P44" s="955"/>
      <c r="Q44" s="129"/>
      <c r="R44" s="150"/>
      <c r="S44" s="150"/>
      <c r="T44" s="150"/>
      <c r="U44" s="150"/>
      <c r="V44" s="150"/>
      <c r="W44" s="150"/>
    </row>
    <row r="45" spans="1:27" ht="19.5" customHeight="1" x14ac:dyDescent="0.25">
      <c r="A45" s="129"/>
      <c r="B45" s="170"/>
      <c r="C45" s="177" t="s">
        <v>76</v>
      </c>
      <c r="D45" s="977"/>
      <c r="E45" s="978"/>
      <c r="F45" s="979"/>
      <c r="G45" s="980" t="s">
        <v>76</v>
      </c>
      <c r="H45" s="981"/>
      <c r="I45" s="982"/>
      <c r="J45" s="983"/>
      <c r="K45" s="983"/>
      <c r="L45" s="983"/>
      <c r="M45" s="984"/>
      <c r="O45" s="958"/>
      <c r="P45" s="955"/>
      <c r="Q45" s="129"/>
      <c r="R45" s="150"/>
      <c r="S45" s="150"/>
      <c r="T45" s="150"/>
      <c r="U45" s="150"/>
      <c r="V45" s="150"/>
      <c r="W45" s="150"/>
    </row>
    <row r="46" spans="1:27" ht="19.5" customHeight="1" thickBot="1" x14ac:dyDescent="0.3">
      <c r="A46" s="129"/>
      <c r="B46" s="170"/>
      <c r="C46" s="178" t="s">
        <v>77</v>
      </c>
      <c r="D46" s="989" t="s">
        <v>365</v>
      </c>
      <c r="E46" s="990"/>
      <c r="F46" s="991"/>
      <c r="G46" s="992" t="s">
        <v>77</v>
      </c>
      <c r="H46" s="993"/>
      <c r="I46" s="994" t="s">
        <v>361</v>
      </c>
      <c r="J46" s="995"/>
      <c r="K46" s="995"/>
      <c r="L46" s="995"/>
      <c r="M46" s="996"/>
      <c r="O46" s="959"/>
      <c r="P46" s="956"/>
      <c r="Q46" s="129"/>
      <c r="R46" s="133"/>
      <c r="S46" s="133"/>
      <c r="T46" s="133"/>
      <c r="U46" s="133"/>
      <c r="V46" s="133"/>
      <c r="W46" s="133"/>
    </row>
    <row r="47" spans="1:27" x14ac:dyDescent="0.25">
      <c r="B47" s="151"/>
      <c r="C47" s="465"/>
      <c r="D47" s="462"/>
      <c r="E47" s="463"/>
      <c r="F47" s="463"/>
      <c r="G47" s="463"/>
      <c r="H47" s="464"/>
      <c r="I47" s="464"/>
      <c r="J47" s="464"/>
      <c r="K47" s="985" t="s">
        <v>7</v>
      </c>
      <c r="L47" s="985"/>
      <c r="M47" s="985"/>
      <c r="N47" s="152"/>
      <c r="O47" s="161"/>
      <c r="P47" s="161"/>
      <c r="Q47" s="129"/>
      <c r="R47" s="133"/>
      <c r="S47" s="133"/>
      <c r="T47" s="133"/>
      <c r="U47" s="133"/>
      <c r="V47" s="133"/>
      <c r="W47" s="133"/>
    </row>
    <row r="48" spans="1:27" x14ac:dyDescent="0.25">
      <c r="B48" s="171"/>
      <c r="C48" s="164"/>
      <c r="D48" s="212">
        <f>BEGINBLAD!$D$41</f>
        <v>26</v>
      </c>
      <c r="E48" s="202"/>
      <c r="F48" s="203" t="s">
        <v>78</v>
      </c>
      <c r="G48" s="211">
        <f>H48/$D$49</f>
        <v>3.8461538461538464E-2</v>
      </c>
      <c r="H48" s="124">
        <f>COUNTIF($I$5:$I$40,"A-1+")</f>
        <v>1</v>
      </c>
      <c r="I48" s="124"/>
      <c r="J48" s="201" t="s">
        <v>79</v>
      </c>
      <c r="K48" s="201"/>
      <c r="L48" s="201"/>
      <c r="M48" s="227">
        <f>G48+G49+G50+G51+G52</f>
        <v>0.6923076923076924</v>
      </c>
      <c r="N48" s="227">
        <v>1</v>
      </c>
      <c r="O48" s="228"/>
      <c r="P48" s="152"/>
      <c r="Q48" s="129"/>
      <c r="R48" s="133"/>
      <c r="S48" s="133"/>
      <c r="T48" s="133"/>
      <c r="U48" s="133"/>
      <c r="V48" s="133"/>
      <c r="W48" s="133"/>
    </row>
    <row r="49" spans="2:23" x14ac:dyDescent="0.25">
      <c r="B49" s="171"/>
      <c r="C49" s="164"/>
      <c r="D49" s="208">
        <f>COUNTIF(H5:H40,"&gt;0")</f>
        <v>26</v>
      </c>
      <c r="E49" s="202"/>
      <c r="F49" s="203" t="s">
        <v>80</v>
      </c>
      <c r="G49" s="211">
        <f>H49/$D$49</f>
        <v>0.23076923076923078</v>
      </c>
      <c r="H49" s="124">
        <f>COUNTIF($I$5:$I$40,"A-1")</f>
        <v>6</v>
      </c>
      <c r="I49" s="124"/>
      <c r="J49" s="201"/>
      <c r="K49" s="201"/>
      <c r="L49" s="201"/>
      <c r="M49" s="227"/>
      <c r="N49" s="227">
        <v>0.7</v>
      </c>
      <c r="O49" s="229"/>
      <c r="P49" s="163"/>
      <c r="Q49" s="129"/>
      <c r="R49" s="133"/>
      <c r="S49" s="133"/>
      <c r="T49" s="133"/>
      <c r="U49" s="133"/>
      <c r="V49" s="133"/>
      <c r="W49" s="133"/>
    </row>
    <row r="50" spans="2:23" x14ac:dyDescent="0.25">
      <c r="B50" s="171"/>
      <c r="C50" s="164"/>
      <c r="D50" s="204"/>
      <c r="E50" s="202"/>
      <c r="F50" s="205" t="s">
        <v>81</v>
      </c>
      <c r="G50" s="211">
        <f>(H50+I50)/$D$49</f>
        <v>0.15384615384615385</v>
      </c>
      <c r="H50" s="124">
        <f>COUNTIF($I$5:$I$40,"A-2")</f>
        <v>0</v>
      </c>
      <c r="I50" s="124">
        <f>COUNTIF($I$5:$I$40,"B-2")</f>
        <v>4</v>
      </c>
      <c r="J50" s="201"/>
      <c r="K50" s="201"/>
      <c r="L50" s="201"/>
      <c r="M50" s="227"/>
      <c r="N50" s="227">
        <v>0.6</v>
      </c>
      <c r="O50" s="229"/>
      <c r="P50" s="163"/>
      <c r="Q50" s="129"/>
      <c r="R50" s="133"/>
      <c r="S50" s="133"/>
      <c r="T50" s="133"/>
      <c r="U50" s="133"/>
      <c r="V50" s="133"/>
      <c r="W50" s="133"/>
    </row>
    <row r="51" spans="2:23" x14ac:dyDescent="0.25">
      <c r="B51" s="171"/>
      <c r="C51" s="164"/>
      <c r="D51" s="204"/>
      <c r="E51" s="202"/>
      <c r="F51" s="203" t="s">
        <v>82</v>
      </c>
      <c r="G51" s="211">
        <f>H51/$D$49</f>
        <v>0.15384615384615385</v>
      </c>
      <c r="H51" s="124">
        <f>COUNTIF($I$5:$I$40,"B-3")</f>
        <v>4</v>
      </c>
      <c r="I51" s="124"/>
      <c r="J51" s="201"/>
      <c r="K51" s="201"/>
      <c r="L51" s="201"/>
      <c r="M51" s="227"/>
      <c r="N51" s="227">
        <f>$M$48</f>
        <v>0.6923076923076924</v>
      </c>
      <c r="O51" s="229"/>
      <c r="P51" s="163"/>
      <c r="Q51" s="129"/>
      <c r="R51" s="133"/>
      <c r="S51" s="133"/>
      <c r="T51" s="133"/>
      <c r="U51" s="133"/>
      <c r="V51" s="133"/>
      <c r="W51" s="133"/>
    </row>
    <row r="52" spans="2:23" x14ac:dyDescent="0.25">
      <c r="B52" s="171"/>
      <c r="C52" s="164"/>
      <c r="D52" s="204"/>
      <c r="E52" s="202"/>
      <c r="F52" s="203" t="s">
        <v>83</v>
      </c>
      <c r="G52" s="211">
        <f>H52/$D$49</f>
        <v>0.11538461538461539</v>
      </c>
      <c r="H52" s="124">
        <f>COUNTIF($I$5:$I$40,"c-3")</f>
        <v>3</v>
      </c>
      <c r="I52" s="124"/>
      <c r="J52" s="201" t="s">
        <v>84</v>
      </c>
      <c r="K52" s="201"/>
      <c r="L52" s="201"/>
      <c r="M52" s="227">
        <f>G53+G54+G55+G57</f>
        <v>0.30769230769230771</v>
      </c>
      <c r="N52" s="230"/>
      <c r="O52" s="229"/>
      <c r="P52" s="163"/>
      <c r="Q52" s="129"/>
      <c r="R52" s="133"/>
      <c r="S52" s="133"/>
      <c r="T52" s="133"/>
      <c r="U52" s="133"/>
      <c r="V52" s="133"/>
      <c r="W52" s="133"/>
    </row>
    <row r="53" spans="2:23" x14ac:dyDescent="0.25">
      <c r="B53" s="171"/>
      <c r="C53" s="164"/>
      <c r="D53" s="204"/>
      <c r="E53" s="202"/>
      <c r="F53" s="205" t="s">
        <v>85</v>
      </c>
      <c r="G53" s="211">
        <f>H53/$D$49</f>
        <v>0.11538461538461539</v>
      </c>
      <c r="H53" s="124">
        <f>COUNTIF($I$5:$I$40,"c-4")</f>
        <v>3</v>
      </c>
      <c r="I53" s="212"/>
      <c r="J53" s="201"/>
      <c r="K53" s="201"/>
      <c r="L53" s="201"/>
      <c r="M53" s="227"/>
      <c r="N53" s="230"/>
      <c r="O53" s="229"/>
      <c r="P53" s="163"/>
      <c r="Q53" s="129"/>
      <c r="R53" s="133"/>
      <c r="S53" s="133"/>
      <c r="T53" s="133"/>
      <c r="U53" s="133"/>
      <c r="V53" s="133"/>
      <c r="W53" s="133"/>
    </row>
    <row r="54" spans="2:23" x14ac:dyDescent="0.25">
      <c r="B54" s="171"/>
      <c r="C54" s="164"/>
      <c r="D54" s="204"/>
      <c r="E54" s="202"/>
      <c r="F54" s="202" t="s">
        <v>86</v>
      </c>
      <c r="G54" s="211">
        <f>H54/$D$49</f>
        <v>7.6923076923076927E-2</v>
      </c>
      <c r="H54" s="124">
        <f>COUNTIF($I$5:$I$40,"d-4")</f>
        <v>2</v>
      </c>
      <c r="I54" s="212"/>
      <c r="J54" s="201"/>
      <c r="K54" s="201"/>
      <c r="L54" s="201"/>
      <c r="M54" s="227"/>
      <c r="N54" s="230"/>
      <c r="O54" s="229"/>
      <c r="P54" s="163"/>
      <c r="Q54" s="129"/>
      <c r="R54" s="133"/>
      <c r="S54" s="133"/>
      <c r="T54" s="133"/>
      <c r="U54" s="133"/>
      <c r="V54" s="133"/>
      <c r="W54" s="133"/>
    </row>
    <row r="55" spans="2:23" x14ac:dyDescent="0.25">
      <c r="B55" s="171"/>
      <c r="C55" s="164"/>
      <c r="D55" s="204"/>
      <c r="E55" s="202"/>
      <c r="F55" s="203" t="s">
        <v>87</v>
      </c>
      <c r="G55" s="211">
        <f>(H55+I55)/$D$49</f>
        <v>0.11538461538461539</v>
      </c>
      <c r="H55" s="124">
        <f>COUNTIF($I$5:$I$40,"d-5")</f>
        <v>3</v>
      </c>
      <c r="I55" s="124">
        <f>COUNTIF($I$5:$I$40,"e-5")</f>
        <v>0</v>
      </c>
      <c r="J55" s="201"/>
      <c r="K55" s="201"/>
      <c r="L55" s="201"/>
      <c r="M55" s="227"/>
      <c r="N55" s="230"/>
      <c r="O55" s="229"/>
      <c r="P55" s="163"/>
      <c r="Q55" s="129"/>
      <c r="R55" s="133"/>
      <c r="S55" s="133"/>
      <c r="T55" s="133"/>
      <c r="U55" s="133"/>
      <c r="V55" s="133"/>
      <c r="W55" s="133"/>
    </row>
    <row r="56" spans="2:23" x14ac:dyDescent="0.25">
      <c r="B56" s="171"/>
      <c r="C56" s="164"/>
      <c r="D56" s="204"/>
      <c r="E56" s="202"/>
      <c r="F56" s="203"/>
      <c r="G56" s="211"/>
      <c r="H56" s="124"/>
      <c r="I56" s="124"/>
      <c r="J56" s="201" t="s">
        <v>0</v>
      </c>
      <c r="K56" s="201"/>
      <c r="L56" s="201"/>
      <c r="M56" s="227">
        <f>M48+M52</f>
        <v>1</v>
      </c>
      <c r="N56" s="845"/>
      <c r="O56" s="229"/>
      <c r="P56" s="163"/>
      <c r="Q56" s="129"/>
      <c r="R56" s="133"/>
      <c r="S56" s="133"/>
      <c r="T56" s="133"/>
      <c r="U56" s="133"/>
      <c r="V56" s="133"/>
      <c r="W56" s="133"/>
    </row>
    <row r="57" spans="2:23" x14ac:dyDescent="0.25">
      <c r="B57" s="171"/>
      <c r="C57" s="164"/>
      <c r="D57" s="204"/>
      <c r="E57" s="202"/>
      <c r="F57" s="206" t="s">
        <v>88</v>
      </c>
      <c r="G57" s="211">
        <f>H57/$D$49</f>
        <v>0</v>
      </c>
      <c r="H57" s="124">
        <f>COUNTIF($I$5:$I$40,"e-5-")</f>
        <v>0</v>
      </c>
      <c r="I57" s="124"/>
      <c r="J57" s="201"/>
      <c r="K57" s="201"/>
      <c r="L57" s="201"/>
      <c r="M57" s="227"/>
      <c r="N57" s="845"/>
      <c r="O57" s="229"/>
      <c r="P57" s="163"/>
      <c r="Q57" s="129"/>
      <c r="R57" s="133"/>
      <c r="S57" s="133"/>
      <c r="T57" s="133"/>
      <c r="U57" s="133"/>
      <c r="V57" s="133"/>
      <c r="W57" s="133"/>
    </row>
    <row r="58" spans="2:23" x14ac:dyDescent="0.25">
      <c r="B58" s="171"/>
      <c r="C58" s="156"/>
      <c r="D58" s="204"/>
      <c r="E58" s="202"/>
      <c r="F58" s="203" t="s">
        <v>0</v>
      </c>
      <c r="G58" s="207">
        <f>SUM(G48:G57)</f>
        <v>1.0000000000000002</v>
      </c>
      <c r="H58" s="460">
        <f>SUM(H48:H57)</f>
        <v>22</v>
      </c>
      <c r="I58" s="460">
        <f>SUM(I48:I57)</f>
        <v>4</v>
      </c>
      <c r="J58" s="212"/>
      <c r="K58" s="212"/>
      <c r="L58" s="228"/>
      <c r="M58" s="228"/>
      <c r="N58" s="228"/>
      <c r="O58" s="228"/>
      <c r="P58" s="161"/>
      <c r="Q58" s="129"/>
      <c r="R58" s="133"/>
      <c r="S58" s="133"/>
      <c r="T58" s="133"/>
      <c r="U58" s="133"/>
      <c r="V58" s="133"/>
      <c r="W58" s="133"/>
    </row>
    <row r="59" spans="2:23" x14ac:dyDescent="0.25">
      <c r="B59" s="171"/>
      <c r="C59" s="156"/>
      <c r="D59" s="204"/>
      <c r="E59" s="202"/>
      <c r="F59" s="199"/>
      <c r="G59" s="199"/>
      <c r="H59" s="212">
        <f>SUM(H58+I58)</f>
        <v>26</v>
      </c>
      <c r="I59" s="212"/>
      <c r="J59" s="212"/>
      <c r="K59" s="212"/>
      <c r="L59" s="228"/>
      <c r="M59" s="228"/>
      <c r="N59" s="228"/>
      <c r="O59" s="228"/>
      <c r="P59" s="161"/>
      <c r="Q59" s="129"/>
      <c r="R59" s="133"/>
      <c r="S59" s="133"/>
      <c r="T59" s="133"/>
      <c r="U59" s="133"/>
      <c r="V59" s="133"/>
      <c r="W59" s="133"/>
    </row>
    <row r="60" spans="2:23" x14ac:dyDescent="0.25">
      <c r="B60" s="171"/>
      <c r="C60" s="156"/>
      <c r="D60" s="208"/>
      <c r="E60" s="199"/>
      <c r="F60" s="202"/>
      <c r="G60" s="211"/>
      <c r="H60" s="200"/>
      <c r="I60" s="200"/>
      <c r="J60" s="200"/>
      <c r="K60" s="200"/>
      <c r="L60" s="228"/>
      <c r="M60" s="228"/>
      <c r="N60" s="228"/>
      <c r="O60" s="228"/>
      <c r="P60" s="161"/>
      <c r="Q60" s="129"/>
      <c r="R60" s="133"/>
      <c r="S60" s="133"/>
      <c r="T60" s="133"/>
      <c r="U60" s="133"/>
      <c r="V60" s="133"/>
      <c r="W60" s="133"/>
    </row>
    <row r="61" spans="2:23" x14ac:dyDescent="0.25">
      <c r="B61" s="171"/>
      <c r="C61" s="156"/>
      <c r="D61" s="208"/>
      <c r="E61" s="199"/>
      <c r="F61" s="209"/>
      <c r="G61" s="211"/>
      <c r="H61" s="200"/>
      <c r="I61" s="200"/>
      <c r="J61" s="200"/>
      <c r="K61" s="200"/>
      <c r="L61" s="228"/>
      <c r="M61" s="228"/>
      <c r="N61" s="228"/>
      <c r="O61" s="228"/>
      <c r="P61" s="161"/>
      <c r="Q61" s="129"/>
      <c r="R61" s="133"/>
      <c r="S61" s="133"/>
      <c r="T61" s="133"/>
      <c r="U61" s="133"/>
      <c r="V61" s="133"/>
      <c r="W61" s="133"/>
    </row>
    <row r="62" spans="2:23" x14ac:dyDescent="0.25">
      <c r="B62" s="172"/>
      <c r="C62" s="179"/>
      <c r="D62" s="155"/>
      <c r="E62" s="156"/>
      <c r="F62" s="180"/>
      <c r="G62" s="181"/>
      <c r="H62" s="153"/>
      <c r="I62" s="153"/>
      <c r="J62" s="153"/>
      <c r="K62" s="153"/>
      <c r="L62" s="152"/>
      <c r="M62" s="152"/>
      <c r="N62" s="152"/>
      <c r="O62" s="152"/>
      <c r="P62" s="161"/>
      <c r="Q62" s="129"/>
      <c r="R62" s="133"/>
      <c r="S62" s="133"/>
      <c r="T62" s="133"/>
      <c r="U62" s="133"/>
      <c r="V62" s="133"/>
      <c r="W62" s="133"/>
    </row>
    <row r="63" spans="2:23" x14ac:dyDescent="0.25">
      <c r="B63" s="171"/>
      <c r="C63" s="156"/>
      <c r="D63" s="155"/>
      <c r="E63" s="156"/>
      <c r="F63" s="156"/>
      <c r="G63" s="156"/>
      <c r="H63" s="153"/>
      <c r="I63" s="153"/>
      <c r="J63" s="153"/>
      <c r="K63" s="153"/>
      <c r="L63" s="152"/>
      <c r="M63" s="152"/>
      <c r="N63" s="152"/>
      <c r="O63" s="152"/>
      <c r="P63" s="161"/>
      <c r="Q63" s="129"/>
      <c r="R63" s="133"/>
      <c r="S63" s="133"/>
      <c r="T63" s="133"/>
      <c r="U63" s="133"/>
      <c r="V63" s="133"/>
      <c r="W63" s="133"/>
    </row>
    <row r="64" spans="2:23" x14ac:dyDescent="0.25">
      <c r="B64" s="171"/>
      <c r="C64" s="154"/>
      <c r="D64" s="155"/>
      <c r="E64" s="156"/>
      <c r="F64" s="156"/>
      <c r="G64" s="156"/>
      <c r="H64" s="153"/>
      <c r="I64" s="153"/>
      <c r="J64" s="153"/>
      <c r="K64" s="153"/>
      <c r="L64" s="154"/>
      <c r="M64" s="152"/>
      <c r="N64" s="152"/>
      <c r="O64" s="152"/>
      <c r="P64" s="152"/>
      <c r="Q64" s="129"/>
      <c r="R64" s="133"/>
      <c r="S64" s="133"/>
      <c r="T64" s="133"/>
      <c r="U64" s="133"/>
      <c r="V64" s="133"/>
      <c r="W64" s="133"/>
    </row>
    <row r="65" spans="3:24" x14ac:dyDescent="0.25">
      <c r="C65" s="154"/>
      <c r="D65" s="155"/>
      <c r="E65" s="156"/>
      <c r="F65" s="156"/>
      <c r="G65" s="156"/>
      <c r="H65" s="153"/>
      <c r="I65" s="153"/>
      <c r="J65" s="153"/>
      <c r="K65" s="153"/>
      <c r="L65" s="154"/>
      <c r="M65" s="152"/>
      <c r="N65" s="152"/>
      <c r="O65" s="152"/>
      <c r="P65" s="152"/>
      <c r="Q65" s="129"/>
      <c r="R65" s="133"/>
      <c r="S65" s="133"/>
      <c r="T65" s="133"/>
      <c r="U65" s="133"/>
      <c r="V65" s="133"/>
      <c r="W65" s="133"/>
    </row>
    <row r="66" spans="3:24" x14ac:dyDescent="0.25">
      <c r="C66" s="154"/>
      <c r="D66" s="155"/>
      <c r="E66" s="156"/>
      <c r="F66" s="156"/>
      <c r="G66" s="156"/>
      <c r="H66" s="153"/>
      <c r="I66" s="153"/>
      <c r="J66" s="153"/>
      <c r="K66" s="153"/>
      <c r="L66" s="154"/>
      <c r="M66" s="152"/>
      <c r="N66" s="165"/>
      <c r="O66" s="152"/>
      <c r="P66" s="152"/>
      <c r="Q66" s="129"/>
      <c r="R66" s="133"/>
      <c r="S66" s="133"/>
      <c r="T66" s="133"/>
      <c r="U66" s="133"/>
      <c r="V66" s="133"/>
      <c r="W66" s="133"/>
      <c r="X66" s="157"/>
    </row>
    <row r="67" spans="3:24" ht="20" x14ac:dyDescent="0.3">
      <c r="C67" s="156"/>
      <c r="D67" s="164"/>
      <c r="E67" s="156"/>
      <c r="F67" s="156"/>
      <c r="G67" s="156"/>
      <c r="H67" s="153"/>
      <c r="I67" s="153"/>
      <c r="J67" s="166"/>
      <c r="K67" s="153"/>
      <c r="L67" s="156"/>
      <c r="M67" s="152"/>
      <c r="N67" s="152"/>
      <c r="O67" s="165"/>
      <c r="P67" s="165"/>
      <c r="Q67" s="129"/>
      <c r="R67" s="130"/>
      <c r="S67" s="130"/>
      <c r="T67" s="130"/>
      <c r="U67" s="131"/>
      <c r="V67" s="131"/>
      <c r="W67" s="131"/>
      <c r="X67" s="132"/>
    </row>
    <row r="68" spans="3:24" ht="20" x14ac:dyDescent="0.25">
      <c r="C68" s="156"/>
      <c r="D68" s="164"/>
      <c r="E68" s="156"/>
      <c r="F68" s="156"/>
      <c r="G68" s="156"/>
      <c r="H68" s="153"/>
      <c r="I68" s="153"/>
      <c r="J68" s="166"/>
      <c r="K68" s="153"/>
      <c r="L68" s="156"/>
      <c r="M68" s="152"/>
      <c r="N68" s="152"/>
      <c r="O68" s="152"/>
      <c r="P68" s="152"/>
      <c r="Q68" s="129"/>
      <c r="R68" s="133"/>
      <c r="S68" s="133"/>
      <c r="T68" s="133"/>
      <c r="U68" s="133"/>
      <c r="V68" s="133"/>
      <c r="W68" s="133"/>
    </row>
    <row r="69" spans="3:24" ht="20" x14ac:dyDescent="0.25">
      <c r="C69" s="154"/>
      <c r="D69" s="164"/>
      <c r="E69" s="154"/>
      <c r="F69" s="154"/>
      <c r="G69" s="154"/>
      <c r="H69" s="153"/>
      <c r="I69" s="153"/>
      <c r="J69" s="166"/>
      <c r="K69" s="153"/>
      <c r="L69" s="154"/>
      <c r="M69" s="152"/>
      <c r="N69" s="152"/>
      <c r="O69" s="152"/>
      <c r="P69" s="152"/>
      <c r="Q69" s="129"/>
      <c r="R69" s="133"/>
      <c r="S69" s="133"/>
      <c r="T69" s="133"/>
      <c r="U69" s="133"/>
      <c r="V69" s="133"/>
      <c r="W69" s="133"/>
    </row>
    <row r="70" spans="3:24" ht="20" x14ac:dyDescent="0.25">
      <c r="C70" s="154"/>
      <c r="D70" s="164"/>
      <c r="E70" s="154"/>
      <c r="F70" s="154"/>
      <c r="G70" s="154"/>
      <c r="H70" s="153"/>
      <c r="I70" s="153"/>
      <c r="J70" s="166"/>
      <c r="K70" s="153"/>
      <c r="L70" s="154"/>
      <c r="M70" s="152"/>
      <c r="N70" s="152"/>
      <c r="O70" s="152"/>
      <c r="P70" s="152"/>
      <c r="Q70" s="129"/>
      <c r="R70" s="133"/>
      <c r="S70" s="133"/>
      <c r="T70" s="133"/>
      <c r="U70" s="133"/>
      <c r="V70" s="133"/>
      <c r="W70" s="133"/>
    </row>
    <row r="71" spans="3:24" ht="20" x14ac:dyDescent="0.25">
      <c r="C71" s="154"/>
      <c r="D71" s="164"/>
      <c r="E71" s="154"/>
      <c r="F71" s="154"/>
      <c r="G71" s="154"/>
      <c r="H71" s="153"/>
      <c r="I71" s="153"/>
      <c r="J71" s="166"/>
      <c r="K71" s="153"/>
      <c r="L71" s="154"/>
      <c r="M71" s="152"/>
      <c r="N71" s="152"/>
      <c r="O71" s="152"/>
      <c r="P71" s="152"/>
      <c r="Q71" s="129"/>
      <c r="R71" s="133"/>
      <c r="S71" s="133"/>
      <c r="T71" s="133"/>
      <c r="U71" s="133"/>
      <c r="V71" s="133"/>
      <c r="W71" s="133"/>
    </row>
    <row r="72" spans="3:24" x14ac:dyDescent="0.25">
      <c r="C72" s="154"/>
      <c r="D72" s="155"/>
      <c r="E72" s="154"/>
      <c r="F72" s="154"/>
      <c r="G72" s="154"/>
      <c r="H72" s="153"/>
      <c r="I72" s="153"/>
      <c r="J72" s="153"/>
      <c r="K72" s="153"/>
      <c r="L72" s="154"/>
      <c r="M72" s="152"/>
      <c r="N72" s="152"/>
      <c r="O72" s="152"/>
      <c r="P72" s="152"/>
      <c r="Q72" s="129"/>
      <c r="R72" s="133"/>
      <c r="S72" s="133"/>
      <c r="T72" s="133"/>
      <c r="U72" s="133"/>
      <c r="V72" s="133"/>
      <c r="W72" s="133"/>
    </row>
    <row r="73" spans="3:24" x14ac:dyDescent="0.25">
      <c r="C73" s="154"/>
      <c r="D73" s="155"/>
      <c r="E73" s="154"/>
      <c r="F73" s="154"/>
      <c r="G73" s="154"/>
      <c r="H73" s="153"/>
      <c r="I73" s="153"/>
      <c r="J73" s="153"/>
      <c r="K73" s="153"/>
      <c r="L73" s="154"/>
      <c r="M73" s="152"/>
      <c r="N73" s="152"/>
      <c r="O73" s="152"/>
      <c r="P73" s="152"/>
      <c r="Q73" s="129"/>
      <c r="R73" s="133"/>
      <c r="S73" s="133"/>
      <c r="T73" s="133"/>
      <c r="U73" s="133"/>
      <c r="V73" s="133"/>
      <c r="W73" s="133"/>
    </row>
    <row r="74" spans="3:24" x14ac:dyDescent="0.25">
      <c r="C74" s="154"/>
      <c r="D74" s="155"/>
      <c r="E74" s="154"/>
      <c r="F74" s="154"/>
      <c r="G74" s="154"/>
      <c r="H74" s="153"/>
      <c r="I74" s="153"/>
      <c r="J74" s="153"/>
      <c r="K74" s="153"/>
      <c r="L74" s="154"/>
      <c r="M74" s="152"/>
      <c r="N74" s="152"/>
      <c r="O74" s="152"/>
      <c r="P74" s="152"/>
      <c r="Q74" s="129"/>
      <c r="R74" s="133"/>
      <c r="S74" s="133"/>
      <c r="T74" s="133"/>
      <c r="U74" s="133"/>
      <c r="V74" s="133"/>
      <c r="W74" s="133"/>
    </row>
    <row r="75" spans="3:24" x14ac:dyDescent="0.25">
      <c r="C75" s="154"/>
      <c r="D75" s="155"/>
      <c r="E75" s="154"/>
      <c r="F75" s="154"/>
      <c r="G75" s="154"/>
      <c r="H75" s="153"/>
      <c r="I75" s="153"/>
      <c r="J75" s="153"/>
      <c r="K75" s="153"/>
      <c r="L75" s="154"/>
      <c r="M75" s="152"/>
      <c r="N75" s="152"/>
      <c r="O75" s="152"/>
      <c r="P75" s="152"/>
      <c r="Q75" s="129"/>
      <c r="R75" s="133"/>
      <c r="S75" s="133"/>
      <c r="T75" s="133"/>
      <c r="U75" s="133"/>
      <c r="V75" s="133"/>
      <c r="W75" s="133"/>
    </row>
    <row r="76" spans="3:24" x14ac:dyDescent="0.25">
      <c r="C76" s="154"/>
      <c r="D76" s="155"/>
      <c r="E76" s="154"/>
      <c r="F76" s="154"/>
      <c r="G76" s="154"/>
      <c r="H76" s="153"/>
      <c r="I76" s="153"/>
      <c r="J76" s="153"/>
      <c r="K76" s="153"/>
      <c r="L76" s="154"/>
      <c r="M76" s="152"/>
      <c r="N76" s="152"/>
      <c r="O76" s="152"/>
      <c r="P76" s="152"/>
      <c r="Q76" s="129"/>
      <c r="R76" s="133"/>
      <c r="S76" s="133"/>
      <c r="T76" s="133"/>
      <c r="U76" s="133"/>
      <c r="V76" s="133"/>
      <c r="W76" s="133"/>
    </row>
    <row r="77" spans="3:24" x14ac:dyDescent="0.25">
      <c r="C77" s="154"/>
      <c r="D77" s="155"/>
      <c r="E77" s="154"/>
      <c r="F77" s="154"/>
      <c r="G77" s="154"/>
      <c r="H77" s="153"/>
      <c r="I77" s="153"/>
      <c r="J77" s="153"/>
      <c r="K77" s="153"/>
      <c r="L77" s="154"/>
      <c r="M77" s="152"/>
      <c r="N77" s="152"/>
      <c r="O77" s="152"/>
      <c r="P77" s="152"/>
      <c r="Q77" s="129"/>
      <c r="R77" s="133"/>
      <c r="S77" s="133"/>
      <c r="T77" s="133"/>
      <c r="U77" s="133"/>
      <c r="V77" s="133"/>
      <c r="W77" s="133"/>
    </row>
    <row r="78" spans="3:24" x14ac:dyDescent="0.25">
      <c r="C78" s="154"/>
      <c r="D78" s="155"/>
      <c r="E78" s="154"/>
      <c r="F78" s="154"/>
      <c r="G78" s="154"/>
      <c r="H78" s="153"/>
      <c r="I78" s="153"/>
      <c r="J78" s="153"/>
      <c r="K78" s="153"/>
      <c r="L78" s="154"/>
      <c r="M78" s="152"/>
      <c r="N78" s="152"/>
      <c r="O78" s="152"/>
      <c r="P78" s="152"/>
      <c r="Q78" s="129"/>
      <c r="R78" s="133"/>
      <c r="S78" s="133"/>
      <c r="T78" s="133"/>
      <c r="U78" s="133"/>
      <c r="V78" s="133"/>
      <c r="W78" s="133"/>
    </row>
    <row r="79" spans="3:24" x14ac:dyDescent="0.25">
      <c r="C79" s="154"/>
      <c r="D79" s="155"/>
      <c r="E79" s="154"/>
      <c r="F79" s="154"/>
      <c r="G79" s="154"/>
      <c r="H79" s="153"/>
      <c r="I79" s="153"/>
      <c r="J79" s="153"/>
      <c r="K79" s="153"/>
      <c r="L79" s="154"/>
      <c r="M79" s="152"/>
      <c r="N79" s="152"/>
      <c r="O79" s="152"/>
      <c r="P79" s="152"/>
      <c r="Q79" s="129"/>
      <c r="R79" s="133"/>
      <c r="S79" s="133"/>
      <c r="T79" s="133"/>
      <c r="U79" s="133"/>
      <c r="V79" s="133"/>
      <c r="W79" s="133"/>
    </row>
    <row r="80" spans="3:24" x14ac:dyDescent="0.25">
      <c r="C80" s="154"/>
      <c r="D80" s="155"/>
      <c r="E80" s="154"/>
      <c r="F80" s="154"/>
      <c r="G80" s="154"/>
      <c r="H80" s="153"/>
      <c r="I80" s="153"/>
      <c r="J80" s="153"/>
      <c r="K80" s="153"/>
      <c r="L80" s="154"/>
      <c r="M80" s="152"/>
      <c r="N80" s="152"/>
      <c r="O80" s="152"/>
      <c r="P80" s="152"/>
      <c r="Q80" s="129"/>
      <c r="R80" s="133"/>
      <c r="S80" s="133"/>
      <c r="T80" s="133"/>
      <c r="U80" s="133"/>
      <c r="V80" s="133"/>
      <c r="W80" s="133"/>
    </row>
    <row r="81" spans="3:23" x14ac:dyDescent="0.25">
      <c r="C81" s="154"/>
      <c r="D81" s="155"/>
      <c r="E81" s="154"/>
      <c r="F81" s="154"/>
      <c r="G81" s="154"/>
      <c r="H81" s="153"/>
      <c r="I81" s="153"/>
      <c r="J81" s="153"/>
      <c r="K81" s="153"/>
      <c r="L81" s="154"/>
      <c r="M81" s="152"/>
      <c r="N81" s="152"/>
      <c r="O81" s="152"/>
      <c r="P81" s="152"/>
      <c r="Q81" s="129"/>
      <c r="R81" s="133"/>
      <c r="S81" s="133"/>
      <c r="T81" s="133"/>
      <c r="U81" s="133"/>
      <c r="V81" s="133"/>
      <c r="W81" s="133"/>
    </row>
    <row r="82" spans="3:23" x14ac:dyDescent="0.25">
      <c r="C82" s="154"/>
      <c r="D82" s="155"/>
      <c r="E82" s="154"/>
      <c r="F82" s="154"/>
      <c r="G82" s="154"/>
      <c r="H82" s="153"/>
      <c r="I82" s="153"/>
      <c r="J82" s="153"/>
      <c r="K82" s="153"/>
      <c r="L82" s="154"/>
      <c r="M82" s="152"/>
      <c r="N82" s="152"/>
      <c r="O82" s="152"/>
      <c r="P82" s="152"/>
      <c r="Q82" s="129"/>
      <c r="R82" s="133"/>
      <c r="S82" s="133"/>
      <c r="T82" s="133"/>
      <c r="U82" s="133"/>
      <c r="V82" s="133"/>
      <c r="W82" s="133"/>
    </row>
    <row r="83" spans="3:23" x14ac:dyDescent="0.25">
      <c r="C83" s="154"/>
      <c r="D83" s="155"/>
      <c r="E83" s="154"/>
      <c r="F83" s="154"/>
      <c r="G83" s="154"/>
      <c r="H83" s="153"/>
      <c r="I83" s="153"/>
      <c r="J83" s="153"/>
      <c r="K83" s="153"/>
      <c r="L83" s="154"/>
      <c r="M83" s="152"/>
      <c r="N83" s="152"/>
      <c r="O83" s="152"/>
      <c r="P83" s="152"/>
      <c r="Q83" s="129"/>
      <c r="R83" s="133"/>
      <c r="S83" s="133"/>
      <c r="T83" s="133"/>
      <c r="U83" s="133"/>
      <c r="V83" s="133"/>
      <c r="W83" s="133"/>
    </row>
    <row r="84" spans="3:23" x14ac:dyDescent="0.25">
      <c r="C84" s="154"/>
      <c r="D84" s="155"/>
      <c r="E84" s="154"/>
      <c r="F84" s="154"/>
      <c r="G84" s="154"/>
      <c r="H84" s="153"/>
      <c r="I84" s="153"/>
      <c r="J84" s="153"/>
      <c r="K84" s="153"/>
      <c r="L84" s="154"/>
      <c r="M84" s="152"/>
      <c r="N84" s="152"/>
      <c r="O84" s="152"/>
      <c r="P84" s="152"/>
      <c r="Q84" s="129"/>
      <c r="R84" s="133"/>
      <c r="S84" s="133"/>
      <c r="T84" s="133"/>
      <c r="U84" s="133"/>
      <c r="V84" s="133"/>
      <c r="W84" s="133"/>
    </row>
    <row r="85" spans="3:23" x14ac:dyDescent="0.25">
      <c r="C85" s="154"/>
      <c r="D85" s="162"/>
      <c r="E85" s="167"/>
      <c r="F85" s="167"/>
      <c r="G85" s="167"/>
      <c r="H85" s="168"/>
      <c r="I85" s="168"/>
      <c r="J85" s="168"/>
      <c r="K85" s="168"/>
      <c r="L85" s="154"/>
      <c r="M85" s="152"/>
      <c r="N85" s="152"/>
      <c r="O85" s="152"/>
      <c r="P85" s="152"/>
      <c r="Q85" s="129"/>
      <c r="R85" s="133"/>
      <c r="S85" s="133"/>
      <c r="T85" s="133"/>
      <c r="U85" s="133"/>
      <c r="V85" s="133"/>
      <c r="W85" s="133"/>
    </row>
    <row r="86" spans="3:23" x14ac:dyDescent="0.25">
      <c r="D86" s="155"/>
      <c r="E86" s="154"/>
      <c r="F86" s="154"/>
      <c r="G86" s="154"/>
      <c r="H86" s="153"/>
      <c r="I86" s="153"/>
      <c r="J86" s="153"/>
      <c r="K86" s="153"/>
      <c r="L86" s="154"/>
      <c r="M86" s="461"/>
      <c r="N86" s="103"/>
      <c r="O86" s="103"/>
      <c r="P86" s="103"/>
      <c r="Q86" s="129"/>
      <c r="R86" s="133"/>
      <c r="S86" s="133"/>
      <c r="T86" s="133"/>
      <c r="U86" s="133"/>
      <c r="V86" s="133"/>
      <c r="W86" s="133"/>
    </row>
    <row r="87" spans="3:23" x14ac:dyDescent="0.25">
      <c r="D87" s="155"/>
      <c r="E87" s="154"/>
      <c r="F87" s="154"/>
      <c r="G87" s="154"/>
      <c r="H87" s="153"/>
      <c r="I87" s="153"/>
      <c r="J87" s="153"/>
      <c r="K87" s="153"/>
      <c r="L87" s="154"/>
      <c r="M87" s="461"/>
      <c r="N87" s="103"/>
      <c r="O87" s="103"/>
      <c r="P87" s="103"/>
      <c r="Q87" s="129"/>
      <c r="R87" s="133"/>
      <c r="S87" s="133"/>
      <c r="T87" s="133"/>
      <c r="U87" s="133"/>
      <c r="V87" s="133"/>
      <c r="W87" s="133"/>
    </row>
    <row r="88" spans="3:23" x14ac:dyDescent="0.25">
      <c r="D88" s="155"/>
      <c r="E88" s="154"/>
      <c r="F88" s="154"/>
      <c r="G88" s="154"/>
      <c r="H88" s="153"/>
      <c r="I88" s="153"/>
      <c r="J88" s="153"/>
      <c r="K88" s="153"/>
      <c r="L88" s="154"/>
      <c r="M88" s="461"/>
      <c r="N88" s="103"/>
      <c r="O88" s="103"/>
      <c r="P88" s="103"/>
      <c r="Q88" s="103"/>
      <c r="R88" s="133"/>
      <c r="S88" s="133"/>
      <c r="T88" s="133"/>
      <c r="U88" s="133"/>
      <c r="V88" s="133"/>
      <c r="W88" s="133"/>
    </row>
    <row r="89" spans="3:23" x14ac:dyDescent="0.25">
      <c r="D89" s="155"/>
      <c r="E89" s="154"/>
      <c r="F89" s="154"/>
      <c r="G89" s="154"/>
      <c r="H89" s="153"/>
      <c r="I89" s="153"/>
      <c r="J89" s="153"/>
      <c r="K89" s="153"/>
      <c r="L89" s="154"/>
      <c r="M89" s="461"/>
      <c r="N89" s="103"/>
      <c r="O89" s="103"/>
      <c r="P89" s="103"/>
      <c r="Q89" s="103"/>
      <c r="R89" s="133"/>
      <c r="S89" s="133"/>
      <c r="T89" s="133"/>
      <c r="U89" s="133"/>
      <c r="V89" s="133"/>
      <c r="W89" s="133"/>
    </row>
    <row r="90" spans="3:23" x14ac:dyDescent="0.25">
      <c r="D90" s="155"/>
      <c r="E90" s="154"/>
      <c r="F90" s="154"/>
      <c r="G90" s="154"/>
      <c r="H90" s="153"/>
      <c r="I90" s="153"/>
      <c r="J90" s="153"/>
      <c r="K90" s="153"/>
      <c r="L90" s="154"/>
      <c r="M90" s="461"/>
      <c r="N90" s="103"/>
      <c r="O90" s="103"/>
      <c r="P90" s="103"/>
      <c r="Q90" s="103"/>
      <c r="R90" s="133"/>
      <c r="S90" s="133"/>
      <c r="T90" s="133"/>
      <c r="U90" s="133"/>
      <c r="V90" s="133"/>
      <c r="W90" s="133"/>
    </row>
    <row r="91" spans="3:23" x14ac:dyDescent="0.25">
      <c r="D91" s="155"/>
      <c r="E91" s="154"/>
      <c r="F91" s="154"/>
      <c r="G91" s="154"/>
      <c r="H91" s="153"/>
      <c r="I91" s="153"/>
      <c r="J91" s="153"/>
      <c r="K91" s="153"/>
      <c r="L91" s="154"/>
      <c r="M91" s="461"/>
      <c r="N91" s="103"/>
      <c r="O91" s="103"/>
      <c r="P91" s="103"/>
      <c r="Q91" s="103"/>
      <c r="R91" s="133"/>
      <c r="S91" s="133"/>
      <c r="T91" s="133"/>
      <c r="U91" s="133"/>
      <c r="V91" s="133"/>
      <c r="W91" s="133"/>
    </row>
    <row r="92" spans="3:23" x14ac:dyDescent="0.25">
      <c r="D92" s="155"/>
      <c r="E92" s="154"/>
      <c r="F92" s="154"/>
      <c r="G92" s="154"/>
      <c r="H92" s="153"/>
      <c r="I92" s="153"/>
      <c r="J92" s="153"/>
      <c r="K92" s="153"/>
      <c r="L92" s="154"/>
      <c r="M92" s="161"/>
      <c r="R92" s="157"/>
      <c r="S92" s="157"/>
      <c r="T92" s="157"/>
      <c r="U92" s="157"/>
      <c r="V92" s="157"/>
      <c r="W92" s="157"/>
    </row>
    <row r="93" spans="3:23" x14ac:dyDescent="0.25">
      <c r="D93" s="155"/>
      <c r="E93" s="154"/>
      <c r="F93" s="154"/>
      <c r="G93" s="154"/>
      <c r="H93" s="153"/>
      <c r="I93" s="153"/>
      <c r="J93" s="153"/>
      <c r="K93" s="153"/>
      <c r="L93" s="154"/>
      <c r="M93" s="161"/>
      <c r="R93" s="157"/>
      <c r="S93" s="157"/>
      <c r="T93" s="157"/>
      <c r="U93" s="157"/>
      <c r="V93" s="157"/>
      <c r="W93" s="157"/>
    </row>
    <row r="94" spans="3:23" x14ac:dyDescent="0.25">
      <c r="D94" s="155"/>
      <c r="E94" s="154"/>
      <c r="F94" s="154"/>
      <c r="G94" s="154"/>
      <c r="H94" s="153"/>
      <c r="I94" s="153"/>
      <c r="J94" s="153"/>
      <c r="K94" s="153"/>
      <c r="L94" s="154"/>
      <c r="M94" s="161"/>
      <c r="R94" s="157"/>
      <c r="S94" s="157"/>
      <c r="T94" s="157"/>
      <c r="U94" s="157"/>
      <c r="V94" s="157"/>
      <c r="W94" s="157"/>
    </row>
    <row r="95" spans="3:23" x14ac:dyDescent="0.25">
      <c r="D95" s="155"/>
      <c r="E95" s="154"/>
      <c r="F95" s="154"/>
      <c r="G95" s="154"/>
      <c r="H95" s="153"/>
      <c r="I95" s="153"/>
      <c r="J95" s="153"/>
      <c r="K95" s="153"/>
      <c r="L95" s="154"/>
      <c r="M95" s="161"/>
      <c r="R95" s="157"/>
      <c r="S95" s="157"/>
      <c r="T95" s="157"/>
      <c r="U95" s="157"/>
      <c r="V95" s="157"/>
      <c r="W95" s="157"/>
    </row>
    <row r="96" spans="3:23" x14ac:dyDescent="0.25">
      <c r="D96" s="155"/>
      <c r="E96" s="154"/>
      <c r="F96" s="154"/>
      <c r="G96" s="154"/>
      <c r="H96" s="153"/>
      <c r="I96" s="153"/>
      <c r="J96" s="153"/>
      <c r="K96" s="153"/>
      <c r="L96" s="154"/>
      <c r="M96" s="161"/>
      <c r="R96" s="157"/>
      <c r="S96" s="157"/>
      <c r="T96" s="157"/>
      <c r="U96" s="157"/>
      <c r="V96" s="157"/>
      <c r="W96" s="157"/>
    </row>
    <row r="97" spans="4:23" x14ac:dyDescent="0.25">
      <c r="D97" s="155"/>
      <c r="E97" s="154"/>
      <c r="F97" s="154"/>
      <c r="G97" s="154"/>
      <c r="H97" s="153"/>
      <c r="I97" s="153"/>
      <c r="J97" s="153"/>
      <c r="K97" s="153"/>
      <c r="L97" s="154"/>
      <c r="M97" s="161"/>
      <c r="R97" s="157"/>
      <c r="S97" s="157"/>
      <c r="T97" s="157"/>
      <c r="U97" s="157"/>
      <c r="V97" s="157"/>
      <c r="W97" s="157"/>
    </row>
    <row r="98" spans="4:23" x14ac:dyDescent="0.25">
      <c r="D98" s="155"/>
      <c r="E98" s="154"/>
      <c r="F98" s="154"/>
      <c r="G98" s="154"/>
      <c r="H98" s="153"/>
      <c r="I98" s="153"/>
      <c r="J98" s="153"/>
      <c r="K98" s="153"/>
      <c r="L98" s="154"/>
      <c r="M98" s="161"/>
      <c r="R98" s="157"/>
      <c r="S98" s="157"/>
      <c r="T98" s="157"/>
      <c r="U98" s="157"/>
      <c r="V98" s="157"/>
      <c r="W98" s="157"/>
    </row>
    <row r="99" spans="4:23" x14ac:dyDescent="0.25">
      <c r="D99" s="155"/>
      <c r="E99" s="154"/>
      <c r="F99" s="154"/>
      <c r="G99" s="154"/>
      <c r="H99" s="153"/>
      <c r="I99" s="153"/>
      <c r="J99" s="153"/>
      <c r="K99" s="153"/>
      <c r="L99" s="154"/>
      <c r="M99" s="161"/>
      <c r="R99" s="157"/>
      <c r="S99" s="157"/>
      <c r="T99" s="157"/>
      <c r="U99" s="157"/>
      <c r="V99" s="157"/>
      <c r="W99" s="157"/>
    </row>
    <row r="100" spans="4:23" x14ac:dyDescent="0.25">
      <c r="D100" s="155"/>
      <c r="E100" s="154"/>
      <c r="F100" s="154"/>
      <c r="G100" s="154"/>
      <c r="H100" s="153"/>
      <c r="I100" s="153"/>
      <c r="J100" s="153"/>
      <c r="K100" s="153"/>
      <c r="L100" s="154"/>
      <c r="M100" s="161"/>
      <c r="R100" s="157"/>
      <c r="S100" s="157"/>
      <c r="T100" s="157"/>
      <c r="U100" s="157"/>
      <c r="V100" s="157"/>
      <c r="W100" s="157"/>
    </row>
    <row r="101" spans="4:23" x14ac:dyDescent="0.25">
      <c r="D101" s="155"/>
      <c r="E101" s="154"/>
      <c r="F101" s="154"/>
      <c r="G101" s="154"/>
      <c r="H101" s="153"/>
      <c r="I101" s="153"/>
      <c r="J101" s="153"/>
      <c r="K101" s="153"/>
      <c r="L101" s="154"/>
      <c r="M101" s="161"/>
      <c r="R101" s="157"/>
      <c r="S101" s="157"/>
      <c r="T101" s="157"/>
      <c r="U101" s="157"/>
      <c r="V101" s="157"/>
      <c r="W101" s="157"/>
    </row>
    <row r="102" spans="4:23" x14ac:dyDescent="0.25">
      <c r="D102" s="155"/>
      <c r="E102" s="154"/>
      <c r="F102" s="154"/>
      <c r="G102" s="154"/>
      <c r="H102" s="153"/>
      <c r="I102" s="153"/>
      <c r="J102" s="153"/>
      <c r="K102" s="153"/>
      <c r="L102" s="154"/>
      <c r="M102" s="161"/>
      <c r="R102" s="157"/>
      <c r="S102" s="157"/>
      <c r="T102" s="157"/>
      <c r="U102" s="157"/>
      <c r="V102" s="157"/>
      <c r="W102" s="157"/>
    </row>
    <row r="103" spans="4:23" x14ac:dyDescent="0.25">
      <c r="D103" s="155"/>
      <c r="E103" s="154"/>
      <c r="F103" s="154"/>
      <c r="G103" s="154"/>
      <c r="H103" s="153"/>
      <c r="I103" s="153"/>
      <c r="J103" s="153"/>
      <c r="K103" s="153"/>
      <c r="L103" s="154"/>
      <c r="M103" s="161"/>
      <c r="R103" s="157"/>
      <c r="S103" s="157"/>
      <c r="T103" s="157"/>
      <c r="U103" s="157"/>
      <c r="V103" s="157"/>
      <c r="W103" s="157"/>
    </row>
    <row r="104" spans="4:23" x14ac:dyDescent="0.25">
      <c r="D104" s="155"/>
      <c r="E104" s="154"/>
      <c r="F104" s="154"/>
      <c r="G104" s="154"/>
      <c r="H104" s="153"/>
      <c r="I104" s="153"/>
      <c r="J104" s="153"/>
      <c r="K104" s="153"/>
      <c r="L104" s="154"/>
      <c r="M104" s="161"/>
      <c r="R104" s="157"/>
      <c r="S104" s="157"/>
      <c r="T104" s="157"/>
      <c r="U104" s="157"/>
      <c r="V104" s="157"/>
      <c r="W104" s="157"/>
    </row>
    <row r="105" spans="4:23" x14ac:dyDescent="0.25">
      <c r="D105" s="155"/>
      <c r="E105" s="154"/>
      <c r="F105" s="154"/>
      <c r="G105" s="154"/>
      <c r="H105" s="153"/>
      <c r="I105" s="153"/>
      <c r="J105" s="153"/>
      <c r="K105" s="153"/>
      <c r="L105" s="154"/>
      <c r="M105" s="161"/>
      <c r="R105" s="157"/>
      <c r="S105" s="157"/>
      <c r="T105" s="157"/>
      <c r="U105" s="157"/>
      <c r="V105" s="157"/>
      <c r="W105" s="157"/>
    </row>
    <row r="106" spans="4:23" x14ac:dyDescent="0.25">
      <c r="D106" s="155"/>
      <c r="E106" s="154"/>
      <c r="F106" s="154"/>
      <c r="G106" s="154"/>
      <c r="H106" s="153"/>
      <c r="I106" s="153"/>
      <c r="J106" s="153"/>
      <c r="K106" s="153"/>
      <c r="L106" s="154"/>
      <c r="M106" s="161"/>
      <c r="R106" s="157"/>
      <c r="S106" s="157"/>
      <c r="T106" s="157"/>
      <c r="U106" s="157"/>
      <c r="V106" s="157"/>
      <c r="W106" s="157"/>
    </row>
    <row r="107" spans="4:23" x14ac:dyDescent="0.25">
      <c r="D107" s="155"/>
      <c r="E107" s="154"/>
      <c r="F107" s="154"/>
      <c r="G107" s="154"/>
      <c r="H107" s="153"/>
      <c r="I107" s="153"/>
      <c r="J107" s="153"/>
      <c r="K107" s="153"/>
      <c r="L107" s="154"/>
      <c r="M107" s="161"/>
      <c r="R107" s="157"/>
      <c r="S107" s="157"/>
      <c r="T107" s="157"/>
      <c r="U107" s="157"/>
      <c r="V107" s="157"/>
      <c r="W107" s="157"/>
    </row>
    <row r="108" spans="4:23" x14ac:dyDescent="0.25">
      <c r="D108" s="155"/>
      <c r="E108" s="154"/>
      <c r="F108" s="154"/>
      <c r="G108" s="154"/>
      <c r="H108" s="153"/>
      <c r="I108" s="153"/>
      <c r="J108" s="153"/>
      <c r="K108" s="153"/>
      <c r="L108" s="154"/>
      <c r="M108" s="161"/>
      <c r="R108" s="157"/>
      <c r="S108" s="157"/>
      <c r="T108" s="157"/>
      <c r="U108" s="157"/>
      <c r="V108" s="157"/>
      <c r="W108" s="157"/>
    </row>
    <row r="109" spans="4:23" x14ac:dyDescent="0.25">
      <c r="D109" s="155"/>
      <c r="E109" s="154"/>
      <c r="F109" s="154"/>
      <c r="G109" s="154"/>
      <c r="H109" s="153"/>
      <c r="I109" s="153"/>
      <c r="J109" s="153"/>
      <c r="K109" s="153"/>
      <c r="L109" s="154"/>
      <c r="M109" s="161"/>
      <c r="R109" s="157"/>
      <c r="S109" s="157"/>
      <c r="T109" s="157"/>
      <c r="U109" s="157"/>
      <c r="V109" s="157"/>
      <c r="W109" s="157"/>
    </row>
    <row r="110" spans="4:23" x14ac:dyDescent="0.25">
      <c r="D110" s="155"/>
      <c r="E110" s="154"/>
      <c r="F110" s="154"/>
      <c r="G110" s="154"/>
      <c r="H110" s="153"/>
      <c r="I110" s="153"/>
      <c r="J110" s="153"/>
      <c r="K110" s="153"/>
      <c r="L110" s="154"/>
      <c r="M110" s="161"/>
      <c r="R110" s="157"/>
      <c r="S110" s="157"/>
      <c r="T110" s="157"/>
      <c r="U110" s="157"/>
      <c r="V110" s="157"/>
      <c r="W110" s="157"/>
    </row>
    <row r="111" spans="4:23" x14ac:dyDescent="0.25">
      <c r="D111" s="155"/>
      <c r="E111" s="154"/>
      <c r="F111" s="154"/>
      <c r="G111" s="154"/>
      <c r="H111" s="153"/>
      <c r="I111" s="153"/>
      <c r="J111" s="153"/>
      <c r="K111" s="153"/>
      <c r="L111" s="154"/>
      <c r="M111" s="161"/>
      <c r="R111" s="157"/>
      <c r="S111" s="157"/>
      <c r="T111" s="157"/>
      <c r="U111" s="157"/>
      <c r="V111" s="157"/>
      <c r="W111" s="157"/>
    </row>
    <row r="112" spans="4:23" x14ac:dyDescent="0.25">
      <c r="D112" s="155"/>
      <c r="E112" s="154"/>
      <c r="F112" s="154"/>
      <c r="G112" s="154"/>
      <c r="H112" s="153"/>
      <c r="I112" s="153"/>
      <c r="J112" s="153"/>
      <c r="K112" s="153"/>
      <c r="L112" s="154"/>
      <c r="M112" s="161"/>
      <c r="R112" s="157"/>
      <c r="S112" s="157"/>
      <c r="T112" s="157"/>
      <c r="U112" s="157"/>
      <c r="V112" s="157"/>
      <c r="W112" s="157"/>
    </row>
    <row r="113" spans="4:23" x14ac:dyDescent="0.25">
      <c r="D113" s="155"/>
      <c r="E113" s="154"/>
      <c r="F113" s="154"/>
      <c r="G113" s="154"/>
      <c r="H113" s="153"/>
      <c r="I113" s="153"/>
      <c r="J113" s="153"/>
      <c r="K113" s="153"/>
      <c r="L113" s="154"/>
      <c r="M113" s="161"/>
      <c r="R113" s="157"/>
      <c r="S113" s="157"/>
      <c r="T113" s="157"/>
      <c r="U113" s="157"/>
      <c r="V113" s="157"/>
      <c r="W113" s="157"/>
    </row>
    <row r="114" spans="4:23" x14ac:dyDescent="0.25">
      <c r="D114" s="155"/>
      <c r="E114" s="154"/>
      <c r="F114" s="154"/>
      <c r="G114" s="154"/>
      <c r="H114" s="153"/>
      <c r="I114" s="153"/>
      <c r="J114" s="153"/>
      <c r="K114" s="153"/>
      <c r="L114" s="154"/>
      <c r="M114" s="161"/>
      <c r="R114" s="157"/>
      <c r="S114" s="157"/>
      <c r="T114" s="157"/>
      <c r="U114" s="157"/>
      <c r="V114" s="157"/>
      <c r="W114" s="157"/>
    </row>
    <row r="115" spans="4:23" x14ac:dyDescent="0.25">
      <c r="D115" s="155"/>
      <c r="E115" s="154"/>
      <c r="F115" s="154"/>
      <c r="G115" s="154"/>
      <c r="H115" s="153"/>
      <c r="I115" s="153"/>
      <c r="J115" s="153"/>
      <c r="K115" s="153"/>
      <c r="L115" s="154"/>
      <c r="M115" s="161"/>
      <c r="R115" s="157"/>
      <c r="S115" s="157"/>
      <c r="T115" s="157"/>
      <c r="U115" s="157"/>
      <c r="V115" s="157"/>
      <c r="W115" s="157"/>
    </row>
    <row r="116" spans="4:23" x14ac:dyDescent="0.25">
      <c r="D116" s="155"/>
      <c r="E116" s="154"/>
      <c r="F116" s="154"/>
      <c r="G116" s="154"/>
      <c r="H116" s="153"/>
      <c r="I116" s="153"/>
      <c r="J116" s="153"/>
      <c r="K116" s="153"/>
      <c r="L116" s="154"/>
      <c r="M116" s="161"/>
      <c r="R116" s="157"/>
      <c r="S116" s="157"/>
      <c r="T116" s="157"/>
      <c r="U116" s="157"/>
      <c r="V116" s="157"/>
      <c r="W116" s="157"/>
    </row>
    <row r="117" spans="4:23" x14ac:dyDescent="0.25">
      <c r="D117" s="155"/>
      <c r="E117" s="154"/>
      <c r="F117" s="154"/>
      <c r="G117" s="154"/>
      <c r="H117" s="153"/>
      <c r="I117" s="153"/>
      <c r="J117" s="153"/>
      <c r="K117" s="153"/>
      <c r="L117" s="154"/>
      <c r="M117" s="161"/>
      <c r="R117" s="157"/>
      <c r="S117" s="157"/>
      <c r="T117" s="157"/>
      <c r="U117" s="157"/>
      <c r="V117" s="157"/>
      <c r="W117" s="157"/>
    </row>
    <row r="118" spans="4:23" x14ac:dyDescent="0.25">
      <c r="D118" s="155"/>
      <c r="E118" s="154"/>
      <c r="F118" s="154"/>
      <c r="G118" s="154"/>
      <c r="H118" s="153"/>
      <c r="I118" s="153"/>
      <c r="J118" s="153"/>
      <c r="K118" s="153"/>
      <c r="L118" s="154"/>
      <c r="M118" s="161"/>
      <c r="R118" s="157"/>
      <c r="S118" s="157"/>
      <c r="T118" s="157"/>
      <c r="U118" s="157"/>
      <c r="V118" s="157"/>
      <c r="W118" s="157"/>
    </row>
    <row r="119" spans="4:23" x14ac:dyDescent="0.25">
      <c r="D119" s="155"/>
      <c r="E119" s="154"/>
      <c r="F119" s="154"/>
      <c r="G119" s="154"/>
      <c r="H119" s="153"/>
      <c r="I119" s="153"/>
      <c r="J119" s="153"/>
      <c r="K119" s="153"/>
      <c r="L119" s="154"/>
      <c r="M119" s="161"/>
      <c r="R119" s="157"/>
      <c r="S119" s="157"/>
      <c r="T119" s="157"/>
      <c r="U119" s="157"/>
      <c r="V119" s="157"/>
      <c r="W119" s="157"/>
    </row>
    <row r="120" spans="4:23" x14ac:dyDescent="0.25">
      <c r="D120" s="155"/>
      <c r="E120" s="154"/>
      <c r="F120" s="154"/>
      <c r="G120" s="154"/>
      <c r="H120" s="153"/>
      <c r="I120" s="153"/>
      <c r="J120" s="153"/>
      <c r="K120" s="153"/>
      <c r="L120" s="154"/>
      <c r="M120" s="161"/>
      <c r="R120" s="157"/>
      <c r="S120" s="157"/>
      <c r="T120" s="157"/>
      <c r="U120" s="157"/>
      <c r="V120" s="157"/>
      <c r="W120" s="157"/>
    </row>
    <row r="121" spans="4:23" x14ac:dyDescent="0.25">
      <c r="D121" s="155"/>
      <c r="E121" s="154"/>
      <c r="F121" s="154"/>
      <c r="G121" s="154"/>
      <c r="H121" s="153"/>
      <c r="I121" s="153"/>
      <c r="J121" s="153"/>
      <c r="K121" s="153"/>
      <c r="L121" s="154"/>
      <c r="M121" s="161"/>
      <c r="R121" s="157"/>
      <c r="S121" s="157"/>
      <c r="T121" s="157"/>
      <c r="U121" s="157"/>
      <c r="V121" s="157"/>
      <c r="W121" s="157"/>
    </row>
    <row r="122" spans="4:23" x14ac:dyDescent="0.25">
      <c r="D122" s="155"/>
      <c r="E122" s="154"/>
      <c r="F122" s="154"/>
      <c r="G122" s="154"/>
      <c r="H122" s="153"/>
      <c r="I122" s="153"/>
      <c r="J122" s="153"/>
      <c r="K122" s="153"/>
      <c r="L122" s="154"/>
      <c r="M122" s="161"/>
      <c r="R122" s="157"/>
      <c r="S122" s="157"/>
      <c r="T122" s="157"/>
      <c r="U122" s="157"/>
      <c r="V122" s="157"/>
      <c r="W122" s="157"/>
    </row>
    <row r="123" spans="4:23" x14ac:dyDescent="0.25">
      <c r="D123" s="155"/>
      <c r="E123" s="154"/>
      <c r="F123" s="154"/>
      <c r="G123" s="154"/>
      <c r="H123" s="153"/>
      <c r="I123" s="153"/>
      <c r="J123" s="153"/>
      <c r="K123" s="153"/>
      <c r="L123" s="154"/>
      <c r="M123" s="161"/>
      <c r="R123" s="157"/>
      <c r="S123" s="157"/>
      <c r="T123" s="157"/>
      <c r="U123" s="157"/>
      <c r="V123" s="157"/>
      <c r="W123" s="157"/>
    </row>
    <row r="124" spans="4:23" x14ac:dyDescent="0.25">
      <c r="D124" s="155"/>
      <c r="E124" s="154"/>
      <c r="F124" s="154"/>
      <c r="G124" s="154"/>
      <c r="H124" s="153"/>
      <c r="I124" s="153"/>
      <c r="J124" s="153"/>
      <c r="K124" s="153"/>
      <c r="L124" s="154"/>
      <c r="M124" s="161"/>
      <c r="R124" s="157"/>
      <c r="S124" s="157"/>
      <c r="T124" s="157"/>
      <c r="U124" s="157"/>
      <c r="V124" s="157"/>
      <c r="W124" s="157"/>
    </row>
    <row r="125" spans="4:23" x14ac:dyDescent="0.25">
      <c r="D125" s="155"/>
      <c r="E125" s="154"/>
      <c r="F125" s="154"/>
      <c r="G125" s="154"/>
      <c r="H125" s="153"/>
      <c r="I125" s="153"/>
      <c r="J125" s="153"/>
      <c r="K125" s="153"/>
      <c r="L125" s="154"/>
      <c r="M125" s="161"/>
      <c r="R125" s="157"/>
      <c r="S125" s="157"/>
      <c r="T125" s="157"/>
      <c r="U125" s="157"/>
      <c r="V125" s="157"/>
      <c r="W125" s="157"/>
    </row>
    <row r="126" spans="4:23" x14ac:dyDescent="0.25">
      <c r="D126" s="155"/>
      <c r="E126" s="154"/>
      <c r="F126" s="154"/>
      <c r="G126" s="154"/>
      <c r="H126" s="153"/>
      <c r="I126" s="153"/>
      <c r="J126" s="153"/>
      <c r="K126" s="153"/>
      <c r="L126" s="154"/>
      <c r="M126" s="161"/>
      <c r="R126" s="157"/>
      <c r="S126" s="157"/>
      <c r="T126" s="157"/>
      <c r="U126" s="157"/>
      <c r="V126" s="157"/>
      <c r="W126" s="157"/>
    </row>
    <row r="127" spans="4:23" x14ac:dyDescent="0.25">
      <c r="R127" s="157"/>
      <c r="S127" s="157"/>
      <c r="T127" s="157"/>
      <c r="U127" s="157"/>
      <c r="V127" s="157"/>
      <c r="W127" s="157"/>
    </row>
    <row r="128" spans="4:23" x14ac:dyDescent="0.25">
      <c r="R128" s="157"/>
      <c r="S128" s="157"/>
      <c r="T128" s="157"/>
      <c r="U128" s="157"/>
      <c r="V128" s="157"/>
      <c r="W128" s="157"/>
    </row>
    <row r="129" spans="18:23" x14ac:dyDescent="0.25">
      <c r="R129" s="157"/>
      <c r="S129" s="157"/>
      <c r="T129" s="157"/>
      <c r="U129" s="157"/>
      <c r="V129" s="157"/>
      <c r="W129" s="157"/>
    </row>
    <row r="130" spans="18:23" x14ac:dyDescent="0.25">
      <c r="R130" s="157"/>
      <c r="S130" s="157"/>
      <c r="T130" s="157"/>
      <c r="U130" s="157"/>
      <c r="V130" s="157"/>
      <c r="W130" s="157"/>
    </row>
    <row r="131" spans="18:23" x14ac:dyDescent="0.25">
      <c r="R131" s="157"/>
      <c r="S131" s="157"/>
      <c r="T131" s="157"/>
      <c r="U131" s="157"/>
      <c r="V131" s="157"/>
      <c r="W131" s="157"/>
    </row>
    <row r="132" spans="18:23" x14ac:dyDescent="0.25">
      <c r="R132" s="157"/>
      <c r="S132" s="157"/>
      <c r="T132" s="157"/>
      <c r="U132" s="157"/>
      <c r="V132" s="157"/>
      <c r="W132" s="157"/>
    </row>
    <row r="133" spans="18:23" x14ac:dyDescent="0.25">
      <c r="R133" s="157"/>
      <c r="S133" s="157"/>
      <c r="T133" s="157"/>
      <c r="U133" s="157"/>
      <c r="V133" s="157"/>
      <c r="W133" s="157"/>
    </row>
    <row r="134" spans="18:23" x14ac:dyDescent="0.25">
      <c r="R134" s="157"/>
      <c r="S134" s="157"/>
      <c r="T134" s="157"/>
      <c r="U134" s="157"/>
      <c r="V134" s="157"/>
      <c r="W134" s="157"/>
    </row>
    <row r="135" spans="18:23" x14ac:dyDescent="0.25">
      <c r="R135" s="157"/>
      <c r="S135" s="157"/>
      <c r="T135" s="157"/>
      <c r="U135" s="157"/>
      <c r="V135" s="157"/>
      <c r="W135" s="157"/>
    </row>
    <row r="136" spans="18:23" x14ac:dyDescent="0.25">
      <c r="R136" s="157"/>
      <c r="S136" s="157"/>
      <c r="T136" s="157"/>
      <c r="U136" s="157"/>
      <c r="V136" s="157"/>
      <c r="W136" s="157"/>
    </row>
    <row r="137" spans="18:23" x14ac:dyDescent="0.25">
      <c r="R137" s="157"/>
      <c r="S137" s="157"/>
      <c r="T137" s="157"/>
      <c r="U137" s="157"/>
      <c r="V137" s="157"/>
      <c r="W137" s="157"/>
    </row>
    <row r="138" spans="18:23" x14ac:dyDescent="0.25">
      <c r="R138" s="157"/>
      <c r="S138" s="157"/>
      <c r="T138" s="157"/>
      <c r="U138" s="157"/>
      <c r="V138" s="157"/>
      <c r="W138" s="157"/>
    </row>
    <row r="139" spans="18:23" x14ac:dyDescent="0.25">
      <c r="R139" s="157"/>
      <c r="S139" s="157"/>
      <c r="T139" s="157"/>
      <c r="U139" s="157"/>
      <c r="V139" s="157"/>
      <c r="W139" s="157"/>
    </row>
    <row r="140" spans="18:23" x14ac:dyDescent="0.25">
      <c r="R140" s="157"/>
      <c r="S140" s="157"/>
      <c r="T140" s="157"/>
      <c r="U140" s="157"/>
      <c r="V140" s="157"/>
      <c r="W140" s="157"/>
    </row>
    <row r="141" spans="18:23" x14ac:dyDescent="0.25">
      <c r="R141" s="157"/>
      <c r="S141" s="157"/>
      <c r="T141" s="157"/>
      <c r="U141" s="157"/>
      <c r="V141" s="157"/>
      <c r="W141" s="157"/>
    </row>
    <row r="142" spans="18:23" x14ac:dyDescent="0.25">
      <c r="R142" s="157"/>
      <c r="S142" s="157"/>
      <c r="T142" s="157"/>
      <c r="U142" s="157"/>
      <c r="V142" s="157"/>
      <c r="W142" s="157"/>
    </row>
    <row r="143" spans="18:23" x14ac:dyDescent="0.25">
      <c r="R143" s="157"/>
      <c r="S143" s="157"/>
      <c r="T143" s="157"/>
      <c r="U143" s="157"/>
      <c r="V143" s="157"/>
      <c r="W143" s="157"/>
    </row>
    <row r="144" spans="18:23" x14ac:dyDescent="0.25">
      <c r="R144" s="157"/>
      <c r="S144" s="157"/>
      <c r="T144" s="157"/>
      <c r="U144" s="157"/>
      <c r="V144" s="157"/>
      <c r="W144" s="157"/>
    </row>
    <row r="145" spans="18:23" x14ac:dyDescent="0.25">
      <c r="R145" s="157"/>
      <c r="S145" s="157"/>
      <c r="T145" s="157"/>
      <c r="U145" s="157"/>
      <c r="V145" s="157"/>
      <c r="W145" s="157"/>
    </row>
    <row r="146" spans="18:23" x14ac:dyDescent="0.25">
      <c r="R146" s="157"/>
      <c r="S146" s="157"/>
      <c r="T146" s="157"/>
      <c r="U146" s="157"/>
      <c r="V146" s="157"/>
      <c r="W146" s="157"/>
    </row>
    <row r="147" spans="18:23" x14ac:dyDescent="0.25">
      <c r="R147" s="157"/>
      <c r="S147" s="157"/>
      <c r="T147" s="157"/>
      <c r="U147" s="157"/>
      <c r="V147" s="157"/>
      <c r="W147" s="157"/>
    </row>
    <row r="148" spans="18:23" x14ac:dyDescent="0.25">
      <c r="R148" s="157"/>
      <c r="S148" s="157"/>
      <c r="T148" s="157"/>
      <c r="U148" s="157"/>
      <c r="V148" s="157"/>
      <c r="W148" s="157"/>
    </row>
    <row r="149" spans="18:23" x14ac:dyDescent="0.25">
      <c r="R149" s="157"/>
      <c r="S149" s="157"/>
      <c r="T149" s="157"/>
      <c r="U149" s="157"/>
      <c r="V149" s="157"/>
      <c r="W149" s="157"/>
    </row>
    <row r="150" spans="18:23" x14ac:dyDescent="0.25">
      <c r="R150" s="157"/>
      <c r="S150" s="157"/>
      <c r="T150" s="157"/>
      <c r="U150" s="157"/>
      <c r="V150" s="157"/>
      <c r="W150" s="157"/>
    </row>
    <row r="151" spans="18:23" x14ac:dyDescent="0.25">
      <c r="R151" s="157"/>
      <c r="S151" s="157"/>
      <c r="T151" s="157"/>
      <c r="U151" s="157"/>
      <c r="V151" s="157"/>
      <c r="W151" s="157"/>
    </row>
    <row r="152" spans="18:23" x14ac:dyDescent="0.25">
      <c r="R152" s="157"/>
      <c r="S152" s="157"/>
      <c r="T152" s="157"/>
      <c r="U152" s="157"/>
      <c r="V152" s="157"/>
      <c r="W152" s="157"/>
    </row>
    <row r="153" spans="18:23" x14ac:dyDescent="0.25">
      <c r="R153" s="157"/>
      <c r="S153" s="157"/>
      <c r="T153" s="157"/>
      <c r="U153" s="157"/>
      <c r="V153" s="157"/>
      <c r="W153" s="157"/>
    </row>
    <row r="154" spans="18:23" x14ac:dyDescent="0.25">
      <c r="R154" s="157"/>
      <c r="S154" s="157"/>
      <c r="T154" s="157"/>
      <c r="U154" s="157"/>
      <c r="V154" s="157"/>
      <c r="W154" s="157"/>
    </row>
    <row r="155" spans="18:23" x14ac:dyDescent="0.25">
      <c r="R155" s="157"/>
      <c r="S155" s="157"/>
      <c r="T155" s="157"/>
      <c r="U155" s="157"/>
      <c r="V155" s="157"/>
      <c r="W155" s="157"/>
    </row>
    <row r="156" spans="18:23" x14ac:dyDescent="0.25">
      <c r="R156" s="157"/>
      <c r="S156" s="157"/>
      <c r="T156" s="157"/>
      <c r="U156" s="157"/>
      <c r="V156" s="157"/>
      <c r="W156" s="157"/>
    </row>
    <row r="157" spans="18:23" x14ac:dyDescent="0.25">
      <c r="R157" s="157"/>
      <c r="S157" s="157"/>
      <c r="T157" s="157"/>
      <c r="U157" s="157"/>
      <c r="V157" s="157"/>
      <c r="W157" s="157"/>
    </row>
    <row r="158" spans="18:23" x14ac:dyDescent="0.25">
      <c r="R158" s="157"/>
      <c r="S158" s="157"/>
      <c r="T158" s="157"/>
      <c r="U158" s="157"/>
      <c r="V158" s="157"/>
      <c r="W158" s="157"/>
    </row>
    <row r="159" spans="18:23" x14ac:dyDescent="0.25">
      <c r="R159" s="157"/>
      <c r="S159" s="157"/>
      <c r="T159" s="157"/>
      <c r="U159" s="157"/>
      <c r="V159" s="157"/>
      <c r="W159" s="157"/>
    </row>
    <row r="160" spans="18:23" x14ac:dyDescent="0.25">
      <c r="R160" s="157"/>
      <c r="S160" s="157"/>
      <c r="T160" s="157"/>
      <c r="U160" s="157"/>
      <c r="V160" s="157"/>
      <c r="W160" s="157"/>
    </row>
    <row r="161" spans="18:23" x14ac:dyDescent="0.25">
      <c r="R161" s="157"/>
      <c r="S161" s="157"/>
      <c r="T161" s="157"/>
      <c r="U161" s="157"/>
      <c r="V161" s="157"/>
      <c r="W161" s="157"/>
    </row>
    <row r="162" spans="18:23" x14ac:dyDescent="0.25">
      <c r="R162" s="157"/>
      <c r="S162" s="157"/>
      <c r="T162" s="157"/>
      <c r="U162" s="157"/>
      <c r="V162" s="157"/>
      <c r="W162" s="157"/>
    </row>
    <row r="163" spans="18:23" x14ac:dyDescent="0.25">
      <c r="R163" s="157"/>
      <c r="S163" s="157"/>
      <c r="T163" s="157"/>
      <c r="U163" s="157"/>
      <c r="V163" s="157"/>
      <c r="W163" s="157"/>
    </row>
    <row r="164" spans="18:23" x14ac:dyDescent="0.25">
      <c r="R164" s="157"/>
      <c r="S164" s="157"/>
      <c r="T164" s="157"/>
      <c r="U164" s="157"/>
      <c r="V164" s="157"/>
      <c r="W164" s="157"/>
    </row>
    <row r="165" spans="18:23" x14ac:dyDescent="0.25">
      <c r="R165" s="157"/>
      <c r="S165" s="157"/>
      <c r="T165" s="157"/>
      <c r="U165" s="157"/>
      <c r="V165" s="157"/>
      <c r="W165" s="157"/>
    </row>
    <row r="166" spans="18:23" x14ac:dyDescent="0.25">
      <c r="R166" s="157"/>
      <c r="S166" s="157"/>
      <c r="T166" s="157"/>
      <c r="U166" s="157"/>
      <c r="V166" s="157"/>
      <c r="W166" s="157"/>
    </row>
    <row r="167" spans="18:23" x14ac:dyDescent="0.25">
      <c r="R167" s="157"/>
      <c r="S167" s="157"/>
      <c r="T167" s="157"/>
      <c r="U167" s="157"/>
      <c r="V167" s="157"/>
      <c r="W167" s="157"/>
    </row>
    <row r="168" spans="18:23" x14ac:dyDescent="0.25">
      <c r="R168" s="157"/>
      <c r="S168" s="157"/>
      <c r="T168" s="157"/>
      <c r="U168" s="157"/>
      <c r="V168" s="157"/>
      <c r="W168" s="157"/>
    </row>
    <row r="169" spans="18:23" x14ac:dyDescent="0.25">
      <c r="R169" s="157"/>
      <c r="S169" s="157"/>
      <c r="T169" s="157"/>
      <c r="U169" s="157"/>
      <c r="V169" s="157"/>
      <c r="W169" s="157"/>
    </row>
    <row r="170" spans="18:23" x14ac:dyDescent="0.25">
      <c r="R170" s="157"/>
      <c r="S170" s="157"/>
      <c r="T170" s="157"/>
      <c r="U170" s="157"/>
      <c r="V170" s="157"/>
      <c r="W170" s="157"/>
    </row>
    <row r="171" spans="18:23" x14ac:dyDescent="0.25">
      <c r="R171" s="157"/>
      <c r="S171" s="157"/>
      <c r="T171" s="157"/>
      <c r="U171" s="157"/>
      <c r="V171" s="157"/>
      <c r="W171" s="157"/>
    </row>
    <row r="172" spans="18:23" x14ac:dyDescent="0.25">
      <c r="R172" s="157"/>
      <c r="S172" s="157"/>
      <c r="T172" s="157"/>
      <c r="U172" s="157"/>
      <c r="V172" s="157"/>
      <c r="W172" s="157"/>
    </row>
    <row r="173" spans="18:23" x14ac:dyDescent="0.25">
      <c r="R173" s="157"/>
      <c r="S173" s="157"/>
      <c r="T173" s="157"/>
      <c r="U173" s="157"/>
      <c r="V173" s="157"/>
      <c r="W173" s="157"/>
    </row>
    <row r="174" spans="18:23" x14ac:dyDescent="0.25">
      <c r="R174" s="157"/>
      <c r="S174" s="157"/>
      <c r="T174" s="157"/>
      <c r="U174" s="157"/>
      <c r="V174" s="157"/>
      <c r="W174" s="157"/>
    </row>
    <row r="175" spans="18:23" x14ac:dyDescent="0.25">
      <c r="R175" s="157"/>
      <c r="S175" s="157"/>
      <c r="T175" s="157"/>
      <c r="U175" s="157"/>
      <c r="V175" s="157"/>
      <c r="W175" s="157"/>
    </row>
    <row r="176" spans="18:23" x14ac:dyDescent="0.25">
      <c r="R176" s="157"/>
      <c r="S176" s="157"/>
      <c r="T176" s="157"/>
      <c r="U176" s="157"/>
      <c r="V176" s="157"/>
      <c r="W176" s="157"/>
    </row>
    <row r="177" spans="18:23" x14ac:dyDescent="0.25">
      <c r="R177" s="157"/>
      <c r="S177" s="157"/>
      <c r="T177" s="157"/>
      <c r="U177" s="157"/>
      <c r="V177" s="157"/>
      <c r="W177" s="157"/>
    </row>
    <row r="178" spans="18:23" x14ac:dyDescent="0.25">
      <c r="R178" s="157"/>
      <c r="S178" s="157"/>
      <c r="T178" s="157"/>
      <c r="U178" s="157"/>
      <c r="V178" s="157"/>
      <c r="W178" s="157"/>
    </row>
    <row r="179" spans="18:23" x14ac:dyDescent="0.25">
      <c r="R179" s="157"/>
      <c r="S179" s="157"/>
      <c r="T179" s="157"/>
      <c r="U179" s="157"/>
      <c r="V179" s="157"/>
      <c r="W179" s="157"/>
    </row>
    <row r="180" spans="18:23" x14ac:dyDescent="0.25">
      <c r="R180" s="157"/>
      <c r="S180" s="157"/>
      <c r="T180" s="157"/>
      <c r="U180" s="157"/>
      <c r="V180" s="157"/>
      <c r="W180" s="157"/>
    </row>
    <row r="181" spans="18:23" x14ac:dyDescent="0.25">
      <c r="R181" s="157"/>
      <c r="S181" s="157"/>
      <c r="T181" s="157"/>
      <c r="U181" s="157"/>
      <c r="V181" s="157"/>
      <c r="W181" s="157"/>
    </row>
    <row r="182" spans="18:23" x14ac:dyDescent="0.25">
      <c r="R182" s="157"/>
      <c r="S182" s="157"/>
      <c r="T182" s="157"/>
      <c r="U182" s="157"/>
      <c r="V182" s="157"/>
      <c r="W182" s="157"/>
    </row>
    <row r="183" spans="18:23" x14ac:dyDescent="0.25">
      <c r="R183" s="157"/>
      <c r="S183" s="157"/>
      <c r="T183" s="157"/>
      <c r="U183" s="157"/>
      <c r="V183" s="157"/>
      <c r="W183" s="157"/>
    </row>
    <row r="184" spans="18:23" x14ac:dyDescent="0.25">
      <c r="R184" s="157"/>
      <c r="S184" s="157"/>
      <c r="T184" s="157"/>
      <c r="U184" s="157"/>
      <c r="V184" s="157"/>
      <c r="W184" s="157"/>
    </row>
    <row r="185" spans="18:23" x14ac:dyDescent="0.25">
      <c r="R185" s="157"/>
      <c r="S185" s="157"/>
      <c r="T185" s="157"/>
      <c r="U185" s="157"/>
      <c r="V185" s="157"/>
      <c r="W185" s="157"/>
    </row>
    <row r="186" spans="18:23" x14ac:dyDescent="0.25">
      <c r="R186" s="157"/>
      <c r="S186" s="157"/>
      <c r="T186" s="157"/>
      <c r="U186" s="157"/>
      <c r="V186" s="157"/>
      <c r="W186" s="157"/>
    </row>
    <row r="187" spans="18:23" x14ac:dyDescent="0.25">
      <c r="R187" s="157"/>
      <c r="S187" s="157"/>
      <c r="T187" s="157"/>
      <c r="U187" s="157"/>
      <c r="V187" s="157"/>
      <c r="W187" s="157"/>
    </row>
    <row r="188" spans="18:23" x14ac:dyDescent="0.25">
      <c r="R188" s="157"/>
      <c r="S188" s="157"/>
      <c r="T188" s="157"/>
      <c r="U188" s="157"/>
      <c r="V188" s="157"/>
      <c r="W188" s="157"/>
    </row>
    <row r="189" spans="18:23" x14ac:dyDescent="0.25">
      <c r="R189" s="157"/>
      <c r="S189" s="157"/>
      <c r="T189" s="157"/>
      <c r="U189" s="157"/>
      <c r="V189" s="157"/>
      <c r="W189" s="157"/>
    </row>
  </sheetData>
  <sheetProtection sheet="1" objects="1" scenarios="1"/>
  <dataConsolidate link="1"/>
  <mergeCells count="37">
    <mergeCell ref="O26:O27"/>
    <mergeCell ref="P26:P27"/>
    <mergeCell ref="B5:B6"/>
    <mergeCell ref="C2:D2"/>
    <mergeCell ref="K1:O1"/>
    <mergeCell ref="I42:M42"/>
    <mergeCell ref="D46:F46"/>
    <mergeCell ref="G46:H46"/>
    <mergeCell ref="I46:M46"/>
    <mergeCell ref="B27:B28"/>
    <mergeCell ref="N56:N57"/>
    <mergeCell ref="D43:F43"/>
    <mergeCell ref="G43:H43"/>
    <mergeCell ref="I43:M43"/>
    <mergeCell ref="D44:F44"/>
    <mergeCell ref="G44:H44"/>
    <mergeCell ref="I44:M44"/>
    <mergeCell ref="D45:F45"/>
    <mergeCell ref="G45:H45"/>
    <mergeCell ref="I45:M45"/>
    <mergeCell ref="K47:M4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s>
  <conditionalFormatting sqref="C13:C18">
    <cfRule type="expression" dxfId="717" priority="303" stopIfTrue="1">
      <formula>B13=3</formula>
    </cfRule>
    <cfRule type="expression" dxfId="716" priority="304" stopIfTrue="1">
      <formula>B13=4</formula>
    </cfRule>
    <cfRule type="expression" dxfId="715" priority="305" stopIfTrue="1">
      <formula>B13=5</formula>
    </cfRule>
  </conditionalFormatting>
  <conditionalFormatting sqref="F5:F40">
    <cfRule type="expression" dxfId="714" priority="299">
      <formula>$H5=0</formula>
    </cfRule>
    <cfRule type="expression" dxfId="713" priority="302">
      <formula>$H5=0</formula>
    </cfRule>
  </conditionalFormatting>
  <conditionalFormatting sqref="H5:H40">
    <cfRule type="cellIs" dxfId="712" priority="306" stopIfTrue="1" operator="between">
      <formula>0.1</formula>
      <formula>1.9</formula>
    </cfRule>
    <cfRule type="cellIs" dxfId="711" priority="307" stopIfTrue="1" operator="between">
      <formula>3</formula>
      <formula>3.9</formula>
    </cfRule>
    <cfRule type="cellIs" dxfId="710" priority="308" stopIfTrue="1" operator="between">
      <formula>4</formula>
      <formula>5</formula>
    </cfRule>
  </conditionalFormatting>
  <conditionalFormatting sqref="F5:F40">
    <cfRule type="expression" dxfId="709" priority="300">
      <formula>$H5&lt;#REF!</formula>
    </cfRule>
    <cfRule type="expression" dxfId="708" priority="301">
      <formula>$H5&gt;=#REF!</formula>
    </cfRule>
  </conditionalFormatting>
  <conditionalFormatting sqref="E5:E40">
    <cfRule type="expression" dxfId="707" priority="293">
      <formula>$D5=3</formula>
    </cfRule>
    <cfRule type="expression" dxfId="706" priority="294">
      <formula>$D5=4</formula>
    </cfRule>
    <cfRule type="expression" dxfId="705" priority="295">
      <formula>$D5=5</formula>
    </cfRule>
    <cfRule type="expression" dxfId="704" priority="296">
      <formula>$D5=8</formula>
    </cfRule>
    <cfRule type="expression" dxfId="703" priority="297">
      <formula>$D5=7</formula>
    </cfRule>
    <cfRule type="expression" dxfId="702" priority="298">
      <formula>$D5=6</formula>
    </cfRule>
  </conditionalFormatting>
  <conditionalFormatting sqref="C13:C18">
    <cfRule type="cellIs" dxfId="701" priority="289" operator="equal">
      <formula>""</formula>
    </cfRule>
    <cfRule type="expression" dxfId="700" priority="290" stopIfTrue="1">
      <formula>B13=8</formula>
    </cfRule>
    <cfRule type="expression" dxfId="699" priority="291" stopIfTrue="1">
      <formula>B13=7</formula>
    </cfRule>
    <cfRule type="expression" dxfId="698" priority="292" stopIfTrue="1">
      <formula>B13=6</formula>
    </cfRule>
  </conditionalFormatting>
  <conditionalFormatting sqref="C34:C40">
    <cfRule type="expression" dxfId="697" priority="286" stopIfTrue="1">
      <formula>B34=3</formula>
    </cfRule>
    <cfRule type="expression" dxfId="696" priority="287" stopIfTrue="1">
      <formula>B34=4</formula>
    </cfRule>
    <cfRule type="expression" dxfId="695" priority="288" stopIfTrue="1">
      <formula>B34=5</formula>
    </cfRule>
  </conditionalFormatting>
  <conditionalFormatting sqref="C34:C40">
    <cfRule type="cellIs" dxfId="694" priority="282" operator="equal">
      <formula>""</formula>
    </cfRule>
    <cfRule type="expression" dxfId="693" priority="283" stopIfTrue="1">
      <formula>B34=8</formula>
    </cfRule>
    <cfRule type="expression" dxfId="692" priority="284" stopIfTrue="1">
      <formula>B34=7</formula>
    </cfRule>
    <cfRule type="expression" dxfId="691" priority="285" stopIfTrue="1">
      <formula>B34=6</formula>
    </cfRule>
  </conditionalFormatting>
  <conditionalFormatting sqref="N5:N40">
    <cfRule type="cellIs" dxfId="690" priority="280" operator="equal">
      <formula>"*"</formula>
    </cfRule>
    <cfRule type="cellIs" dxfId="689" priority="281" operator="equal">
      <formula>"!"</formula>
    </cfRule>
  </conditionalFormatting>
  <conditionalFormatting sqref="G42:G46">
    <cfRule type="cellIs" dxfId="688" priority="279" operator="notEqual">
      <formula>""</formula>
    </cfRule>
  </conditionalFormatting>
  <conditionalFormatting sqref="S7:U7 S9:U9 S11:U11">
    <cfRule type="cellIs" dxfId="687" priority="269" operator="equal">
      <formula>0</formula>
    </cfRule>
  </conditionalFormatting>
  <conditionalFormatting sqref="V13 V15">
    <cfRule type="cellIs" dxfId="686" priority="268" operator="equal">
      <formula>0</formula>
    </cfRule>
  </conditionalFormatting>
  <conditionalFormatting sqref="R13 R15">
    <cfRule type="cellIs" dxfId="685" priority="267" operator="equal">
      <formula>0</formula>
    </cfRule>
  </conditionalFormatting>
  <conditionalFormatting sqref="R7 R9 R11">
    <cfRule type="cellIs" dxfId="684" priority="266" operator="equal">
      <formula>0</formula>
    </cfRule>
  </conditionalFormatting>
  <conditionalFormatting sqref="V7 V9 V11">
    <cfRule type="cellIs" dxfId="683" priority="265" operator="equal">
      <formula>0</formula>
    </cfRule>
  </conditionalFormatting>
  <conditionalFormatting sqref="S13:U13 S15:U15">
    <cfRule type="cellIs" dxfId="682" priority="264" operator="equal">
      <formula>0</formula>
    </cfRule>
  </conditionalFormatting>
  <conditionalFormatting sqref="R6">
    <cfRule type="cellIs" dxfId="681" priority="263" operator="equal">
      <formula>0</formula>
    </cfRule>
  </conditionalFormatting>
  <conditionalFormatting sqref="V6">
    <cfRule type="cellIs" dxfId="680" priority="262" operator="equal">
      <formula>0</formula>
    </cfRule>
  </conditionalFormatting>
  <conditionalFormatting sqref="I5:I40">
    <cfRule type="cellIs" dxfId="679" priority="259" stopIfTrue="1" operator="between">
      <formula>"D-3"</formula>
      <formula>"E-5"</formula>
    </cfRule>
    <cfRule type="cellIs" dxfId="678" priority="260" stopIfTrue="1" operator="between">
      <formula>"B-2"</formula>
      <formula>"B-3"</formula>
    </cfRule>
    <cfRule type="cellIs" dxfId="677" priority="261" stopIfTrue="1" operator="between">
      <formula>"A-1"</formula>
      <formula>"A-2"</formula>
    </cfRule>
  </conditionalFormatting>
  <conditionalFormatting sqref="I5:I40">
    <cfRule type="cellIs" dxfId="676" priority="257" operator="equal">
      <formula>"E-5-"</formula>
    </cfRule>
    <cfRule type="cellIs" dxfId="675" priority="258" operator="equal">
      <formula>"A-1+"</formula>
    </cfRule>
  </conditionalFormatting>
  <conditionalFormatting sqref="C42:C46">
    <cfRule type="cellIs" dxfId="674" priority="249" operator="notEqual">
      <formula>""</formula>
    </cfRule>
  </conditionalFormatting>
  <conditionalFormatting sqref="C32:C33">
    <cfRule type="expression" dxfId="673" priority="140" stopIfTrue="1">
      <formula>B32=3</formula>
    </cfRule>
    <cfRule type="expression" dxfId="672" priority="141" stopIfTrue="1">
      <formula>B32=4</formula>
    </cfRule>
    <cfRule type="expression" dxfId="671" priority="142" stopIfTrue="1">
      <formula>B32=5</formula>
    </cfRule>
  </conditionalFormatting>
  <conditionalFormatting sqref="C32:C33">
    <cfRule type="cellIs" dxfId="670" priority="136" operator="equal">
      <formula>""</formula>
    </cfRule>
    <cfRule type="expression" dxfId="669" priority="137" stopIfTrue="1">
      <formula>B32=8</formula>
    </cfRule>
    <cfRule type="expression" dxfId="668" priority="138" stopIfTrue="1">
      <formula>B32=7</formula>
    </cfRule>
    <cfRule type="expression" dxfId="667" priority="139" stopIfTrue="1">
      <formula>B32=6</formula>
    </cfRule>
  </conditionalFormatting>
  <conditionalFormatting sqref="C29:C31">
    <cfRule type="expression" dxfId="666" priority="133" stopIfTrue="1">
      <formula>B29=3</formula>
    </cfRule>
    <cfRule type="expression" dxfId="665" priority="134" stopIfTrue="1">
      <formula>B29=4</formula>
    </cfRule>
    <cfRule type="expression" dxfId="664" priority="135" stopIfTrue="1">
      <formula>B29=5</formula>
    </cfRule>
  </conditionalFormatting>
  <conditionalFormatting sqref="C29:C31">
    <cfRule type="cellIs" dxfId="663" priority="129" operator="equal">
      <formula>""</formula>
    </cfRule>
    <cfRule type="expression" dxfId="662" priority="130" stopIfTrue="1">
      <formula>B29=8</formula>
    </cfRule>
    <cfRule type="expression" dxfId="661" priority="131" stopIfTrue="1">
      <formula>B29=7</formula>
    </cfRule>
    <cfRule type="expression" dxfId="660" priority="132" stopIfTrue="1">
      <formula>B29=6</formula>
    </cfRule>
  </conditionalFormatting>
  <conditionalFormatting sqref="L34:L40">
    <cfRule type="cellIs" dxfId="659" priority="126" stopIfTrue="1" operator="between">
      <formula>0.1</formula>
      <formula>1.9</formula>
    </cfRule>
    <cfRule type="cellIs" dxfId="658" priority="127" stopIfTrue="1" operator="between">
      <formula>3</formula>
      <formula>3.9</formula>
    </cfRule>
    <cfRule type="cellIs" dxfId="657" priority="128" stopIfTrue="1" operator="between">
      <formula>4</formula>
      <formula>5</formula>
    </cfRule>
  </conditionalFormatting>
  <conditionalFormatting sqref="L31:L33">
    <cfRule type="cellIs" dxfId="656" priority="123" stopIfTrue="1" operator="between">
      <formula>0.1</formula>
      <formula>1.9</formula>
    </cfRule>
    <cfRule type="cellIs" dxfId="655" priority="124" stopIfTrue="1" operator="between">
      <formula>3</formula>
      <formula>3.9</formula>
    </cfRule>
    <cfRule type="cellIs" dxfId="654" priority="125" stopIfTrue="1" operator="between">
      <formula>4</formula>
      <formula>5</formula>
    </cfRule>
  </conditionalFormatting>
  <conditionalFormatting sqref="L27:L31">
    <cfRule type="cellIs" dxfId="653" priority="120" stopIfTrue="1" operator="between">
      <formula>0.1</formula>
      <formula>1.9</formula>
    </cfRule>
    <cfRule type="cellIs" dxfId="652" priority="121" stopIfTrue="1" operator="between">
      <formula>3</formula>
      <formula>3.9</formula>
    </cfRule>
    <cfRule type="cellIs" dxfId="651" priority="122" stopIfTrue="1" operator="between">
      <formula>4</formula>
      <formula>5</formula>
    </cfRule>
  </conditionalFormatting>
  <conditionalFormatting sqref="L24:L29">
    <cfRule type="cellIs" dxfId="650" priority="117" stopIfTrue="1" operator="between">
      <formula>0.1</formula>
      <formula>1.9</formula>
    </cfRule>
    <cfRule type="cellIs" dxfId="649" priority="118" stopIfTrue="1" operator="between">
      <formula>3</formula>
      <formula>3.9</formula>
    </cfRule>
    <cfRule type="cellIs" dxfId="648" priority="119" stopIfTrue="1" operator="between">
      <formula>4</formula>
      <formula>5</formula>
    </cfRule>
  </conditionalFormatting>
  <conditionalFormatting sqref="L19:L24">
    <cfRule type="cellIs" dxfId="647" priority="114" stopIfTrue="1" operator="between">
      <formula>0.1</formula>
      <formula>1.9</formula>
    </cfRule>
    <cfRule type="cellIs" dxfId="646" priority="115" stopIfTrue="1" operator="between">
      <formula>3</formula>
      <formula>3.9</formula>
    </cfRule>
    <cfRule type="cellIs" dxfId="645" priority="116" stopIfTrue="1" operator="between">
      <formula>4</formula>
      <formula>5</formula>
    </cfRule>
  </conditionalFormatting>
  <conditionalFormatting sqref="L21:L25">
    <cfRule type="cellIs" dxfId="644" priority="111" stopIfTrue="1" operator="between">
      <formula>0.1</formula>
      <formula>1.9</formula>
    </cfRule>
    <cfRule type="cellIs" dxfId="643" priority="112" stopIfTrue="1" operator="between">
      <formula>3</formula>
      <formula>3.9</formula>
    </cfRule>
    <cfRule type="cellIs" dxfId="642" priority="113" stopIfTrue="1" operator="between">
      <formula>4</formula>
      <formula>5</formula>
    </cfRule>
  </conditionalFormatting>
  <conditionalFormatting sqref="M19:M40">
    <cfRule type="cellIs" dxfId="641" priority="101" operator="equal">
      <formula>""</formula>
    </cfRule>
    <cfRule type="cellIs" dxfId="640" priority="104" operator="equal">
      <formula>"1+"</formula>
    </cfRule>
    <cfRule type="cellIs" dxfId="639" priority="105" operator="between">
      <formula>4</formula>
      <formula>"5-"</formula>
    </cfRule>
    <cfRule type="cellIs" dxfId="638" priority="106" operator="equal">
      <formula>2</formula>
    </cfRule>
    <cfRule type="cellIs" dxfId="637" priority="107" operator="equal">
      <formula>1</formula>
    </cfRule>
    <cfRule type="cellIs" dxfId="636" priority="108" operator="between">
      <formula>"D"</formula>
      <formula>"E"</formula>
    </cfRule>
    <cfRule type="cellIs" dxfId="635" priority="109" operator="equal">
      <formula>"B"</formula>
    </cfRule>
    <cfRule type="cellIs" dxfId="634" priority="110" operator="between">
      <formula>"A"</formula>
      <formula>"A+"</formula>
    </cfRule>
  </conditionalFormatting>
  <conditionalFormatting sqref="L19:L40">
    <cfRule type="cellIs" dxfId="633" priority="102" operator="equal">
      <formula>""</formula>
    </cfRule>
  </conditionalFormatting>
  <conditionalFormatting sqref="M5:M8">
    <cfRule type="cellIs" dxfId="632" priority="98" stopIfTrue="1" operator="between">
      <formula>"A+"</formula>
      <formula>"A"</formula>
    </cfRule>
    <cfRule type="cellIs" dxfId="631" priority="99" stopIfTrue="1" operator="equal">
      <formula>"B"</formula>
    </cfRule>
    <cfRule type="cellIs" dxfId="630" priority="100" stopIfTrue="1" operator="between">
      <formula>"D"</formula>
      <formula>"E"</formula>
    </cfRule>
  </conditionalFormatting>
  <conditionalFormatting sqref="L5:L8">
    <cfRule type="cellIs" dxfId="629" priority="95" stopIfTrue="1" operator="between">
      <formula>0.1</formula>
      <formula>1.9</formula>
    </cfRule>
    <cfRule type="cellIs" dxfId="628" priority="96" stopIfTrue="1" operator="between">
      <formula>3</formula>
      <formula>3.9</formula>
    </cfRule>
    <cfRule type="cellIs" dxfId="627" priority="97" stopIfTrue="1" operator="between">
      <formula>4</formula>
      <formula>5</formula>
    </cfRule>
  </conditionalFormatting>
  <conditionalFormatting sqref="M9:M11 M13:M19">
    <cfRule type="cellIs" dxfId="626" priority="92" stopIfTrue="1" operator="between">
      <formula>"A+"</formula>
      <formula>"A"</formula>
    </cfRule>
    <cfRule type="cellIs" dxfId="625" priority="93" stopIfTrue="1" operator="equal">
      <formula>"B"</formula>
    </cfRule>
    <cfRule type="cellIs" dxfId="624" priority="94" stopIfTrue="1" operator="between">
      <formula>"D"</formula>
      <formula>"E"</formula>
    </cfRule>
  </conditionalFormatting>
  <conditionalFormatting sqref="L12">
    <cfRule type="cellIs" dxfId="623" priority="89" stopIfTrue="1" operator="between">
      <formula>0.1</formula>
      <formula>1.9</formula>
    </cfRule>
    <cfRule type="cellIs" dxfId="622" priority="90" stopIfTrue="1" operator="between">
      <formula>3</formula>
      <formula>3.9</formula>
    </cfRule>
    <cfRule type="cellIs" dxfId="621" priority="91" stopIfTrue="1" operator="between">
      <formula>4</formula>
      <formula>5</formula>
    </cfRule>
  </conditionalFormatting>
  <conditionalFormatting sqref="M12">
    <cfRule type="cellIs" dxfId="620" priority="80" operator="equal">
      <formula>""</formula>
    </cfRule>
    <cfRule type="cellIs" dxfId="619" priority="82" operator="equal">
      <formula>"1+"</formula>
    </cfRule>
    <cfRule type="cellIs" dxfId="618" priority="83" operator="between">
      <formula>4</formula>
      <formula>"5-"</formula>
    </cfRule>
    <cfRule type="cellIs" dxfId="617" priority="84" operator="equal">
      <formula>2</formula>
    </cfRule>
    <cfRule type="cellIs" dxfId="616" priority="85" operator="equal">
      <formula>1</formula>
    </cfRule>
    <cfRule type="cellIs" dxfId="615" priority="86" operator="between">
      <formula>"D"</formula>
      <formula>"E"</formula>
    </cfRule>
    <cfRule type="cellIs" dxfId="614" priority="87" operator="equal">
      <formula>"B"</formula>
    </cfRule>
    <cfRule type="cellIs" dxfId="613" priority="88" operator="between">
      <formula>"A"</formula>
      <formula>"A+"</formula>
    </cfRule>
  </conditionalFormatting>
  <conditionalFormatting sqref="L12">
    <cfRule type="cellIs" dxfId="612" priority="81" operator="equal">
      <formula>""</formula>
    </cfRule>
  </conditionalFormatting>
  <conditionalFormatting sqref="M12">
    <cfRule type="cellIs" dxfId="611" priority="77" stopIfTrue="1" operator="between">
      <formula>"A+"</formula>
      <formula>"A"</formula>
    </cfRule>
    <cfRule type="cellIs" dxfId="610" priority="78" stopIfTrue="1" operator="equal">
      <formula>"B"</formula>
    </cfRule>
    <cfRule type="cellIs" dxfId="609" priority="79" stopIfTrue="1" operator="between">
      <formula>"D"</formula>
      <formula>"E"</formula>
    </cfRule>
  </conditionalFormatting>
  <conditionalFormatting sqref="L29">
    <cfRule type="cellIs" dxfId="608" priority="54" stopIfTrue="1" operator="between">
      <formula>0.1</formula>
      <formula>1.9</formula>
    </cfRule>
    <cfRule type="cellIs" dxfId="607" priority="55" stopIfTrue="1" operator="between">
      <formula>3</formula>
      <formula>3.9</formula>
    </cfRule>
    <cfRule type="cellIs" dxfId="606" priority="56" stopIfTrue="1" operator="between">
      <formula>4</formula>
      <formula>5</formula>
    </cfRule>
  </conditionalFormatting>
  <conditionalFormatting sqref="C10:C12">
    <cfRule type="expression" dxfId="605" priority="42" stopIfTrue="1">
      <formula>B10=3</formula>
    </cfRule>
    <cfRule type="expression" dxfId="604" priority="43" stopIfTrue="1">
      <formula>B10=4</formula>
    </cfRule>
    <cfRule type="expression" dxfId="603" priority="44" stopIfTrue="1">
      <formula>B10=5</formula>
    </cfRule>
  </conditionalFormatting>
  <conditionalFormatting sqref="C10:C12">
    <cfRule type="cellIs" dxfId="602" priority="38" operator="equal">
      <formula>""</formula>
    </cfRule>
    <cfRule type="expression" dxfId="601" priority="39" stopIfTrue="1">
      <formula>B10=8</formula>
    </cfRule>
    <cfRule type="expression" dxfId="600" priority="40" stopIfTrue="1">
      <formula>B10=7</formula>
    </cfRule>
    <cfRule type="expression" dxfId="599" priority="41" stopIfTrue="1">
      <formula>B10=6</formula>
    </cfRule>
  </conditionalFormatting>
  <conditionalFormatting sqref="C7:C9">
    <cfRule type="expression" dxfId="598" priority="35" stopIfTrue="1">
      <formula>B7=3</formula>
    </cfRule>
    <cfRule type="expression" dxfId="597" priority="36" stopIfTrue="1">
      <formula>B7=4</formula>
    </cfRule>
    <cfRule type="expression" dxfId="596" priority="37" stopIfTrue="1">
      <formula>B7=5</formula>
    </cfRule>
  </conditionalFormatting>
  <conditionalFormatting sqref="C7:C9">
    <cfRule type="cellIs" dxfId="595" priority="31" operator="equal">
      <formula>""</formula>
    </cfRule>
    <cfRule type="expression" dxfId="594" priority="32" stopIfTrue="1">
      <formula>B7=8</formula>
    </cfRule>
    <cfRule type="expression" dxfId="593" priority="33" stopIfTrue="1">
      <formula>B7=7</formula>
    </cfRule>
    <cfRule type="expression" dxfId="592" priority="34" stopIfTrue="1">
      <formula>B7=6</formula>
    </cfRule>
  </conditionalFormatting>
  <conditionalFormatting sqref="J30:J40">
    <cfRule type="cellIs" dxfId="591" priority="24" operator="equal">
      <formula>1</formula>
    </cfRule>
    <cfRule type="cellIs" dxfId="590" priority="25" operator="equal">
      <formula>7</formula>
    </cfRule>
    <cfRule type="cellIs" dxfId="589" priority="26" operator="equal">
      <formula>6</formula>
    </cfRule>
    <cfRule type="cellIs" dxfId="588" priority="27" operator="equal">
      <formula>5</formula>
    </cfRule>
    <cfRule type="cellIs" dxfId="587" priority="28" operator="equal">
      <formula>4</formula>
    </cfRule>
    <cfRule type="cellIs" dxfId="586" priority="29" operator="equal">
      <formula>3</formula>
    </cfRule>
    <cfRule type="cellIs" dxfId="585" priority="30" operator="equal">
      <formula>2</formula>
    </cfRule>
  </conditionalFormatting>
  <conditionalFormatting sqref="K29">
    <cfRule type="cellIs" dxfId="584" priority="21" stopIfTrue="1" operator="between">
      <formula>0.1</formula>
      <formula>1.9</formula>
    </cfRule>
    <cfRule type="cellIs" dxfId="583" priority="22" stopIfTrue="1" operator="between">
      <formula>3</formula>
      <formula>3.9</formula>
    </cfRule>
    <cfRule type="cellIs" dxfId="582" priority="23" stopIfTrue="1" operator="between">
      <formula>4</formula>
      <formula>5</formula>
    </cfRule>
  </conditionalFormatting>
  <conditionalFormatting sqref="K25:K28">
    <cfRule type="cellIs" dxfId="581" priority="18" stopIfTrue="1" operator="between">
      <formula>0.1</formula>
      <formula>1.9</formula>
    </cfRule>
    <cfRule type="cellIs" dxfId="580" priority="19" stopIfTrue="1" operator="between">
      <formula>3</formula>
      <formula>3.9</formula>
    </cfRule>
    <cfRule type="cellIs" dxfId="579" priority="20" stopIfTrue="1" operator="between">
      <formula>4</formula>
      <formula>5</formula>
    </cfRule>
  </conditionalFormatting>
  <conditionalFormatting sqref="K19:K23">
    <cfRule type="cellIs" dxfId="578" priority="15" stopIfTrue="1" operator="between">
      <formula>0.1</formula>
      <formula>1.9</formula>
    </cfRule>
    <cfRule type="cellIs" dxfId="577" priority="16" stopIfTrue="1" operator="between">
      <formula>3</formula>
      <formula>3.9</formula>
    </cfRule>
    <cfRule type="cellIs" dxfId="576" priority="17" stopIfTrue="1" operator="between">
      <formula>4</formula>
      <formula>5</formula>
    </cfRule>
  </conditionalFormatting>
  <conditionalFormatting sqref="K21:K24">
    <cfRule type="cellIs" dxfId="575" priority="12" stopIfTrue="1" operator="between">
      <formula>0.1</formula>
      <formula>1.9</formula>
    </cfRule>
    <cfRule type="cellIs" dxfId="574" priority="13" stopIfTrue="1" operator="between">
      <formula>3</formula>
      <formula>3.9</formula>
    </cfRule>
    <cfRule type="cellIs" dxfId="573" priority="14" stopIfTrue="1" operator="between">
      <formula>4</formula>
      <formula>5</formula>
    </cfRule>
  </conditionalFormatting>
  <conditionalFormatting sqref="K19:K29">
    <cfRule type="cellIs" dxfId="572" priority="11" operator="equal">
      <formula>""</formula>
    </cfRule>
  </conditionalFormatting>
  <conditionalFormatting sqref="K5:K8">
    <cfRule type="cellIs" dxfId="571" priority="8" stopIfTrue="1" operator="between">
      <formula>0.1</formula>
      <formula>1.9</formula>
    </cfRule>
    <cfRule type="cellIs" dxfId="570" priority="9" stopIfTrue="1" operator="between">
      <formula>3</formula>
      <formula>3.9</formula>
    </cfRule>
    <cfRule type="cellIs" dxfId="569" priority="10" stopIfTrue="1" operator="between">
      <formula>4</formula>
      <formula>5</formula>
    </cfRule>
  </conditionalFormatting>
  <conditionalFormatting sqref="J5:J29">
    <cfRule type="cellIs" dxfId="568" priority="1" operator="equal">
      <formula>1</formula>
    </cfRule>
    <cfRule type="cellIs" dxfId="567" priority="2" operator="equal">
      <formula>7</formula>
    </cfRule>
    <cfRule type="cellIs" dxfId="566" priority="3" operator="equal">
      <formula>6</formula>
    </cfRule>
    <cfRule type="cellIs" dxfId="565" priority="4" operator="equal">
      <formula>5</formula>
    </cfRule>
    <cfRule type="cellIs" dxfId="564" priority="5" operator="equal">
      <formula>4</formula>
    </cfRule>
    <cfRule type="cellIs" dxfId="563" priority="6" operator="equal">
      <formula>3</formula>
    </cfRule>
    <cfRule type="cellIs" dxfId="562" priority="7" operator="equal">
      <formula>2</formula>
    </cfRule>
  </conditionalFormatting>
  <dataValidations count="13">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30:J40" xr:uid="{00000000-0002-0000-2300-00000B000000}">
      <formula1>"1,2,3,4,5,6,7,"</formula1>
    </dataValidation>
    <dataValidation type="list" allowBlank="1" showInputMessage="1" showErrorMessage="1" promptTitle="EMT - Brus" prompt="kies uit:_x000a_1 = zeer goed_x000a_2 = goed_x000a_3 = gemiddeld_x000a_4 = laag gemiddeld_x000a_5 = beneden gemiddeld_x000a_6 = zwak_x000a_7 = zeer zwak" sqref="J5:J29" xr:uid="{00000000-0002-0000-2300-00000C000000}">
      <formula1>"1,2,3,4,5,6,7,"</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AA189"/>
  <sheetViews>
    <sheetView showGridLines="0" showRowColHeaders="0" zoomScaleNormal="100" workbookViewId="0">
      <selection activeCell="B15" sqref="B15"/>
    </sheetView>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5.7265625" style="90" customWidth="1"/>
    <col min="12" max="12" width="5.7265625" style="88" customWidth="1"/>
    <col min="13" max="13" width="5.7265625" style="83" customWidth="1"/>
    <col min="14" max="14" width="3.1796875" style="83" customWidth="1"/>
    <col min="15" max="15" width="4.81640625" style="83" bestFit="1" customWidth="1"/>
    <col min="16" max="16" width="60.7265625" style="83" customWidth="1"/>
    <col min="17" max="17" width="6.7265625" style="83" customWidth="1"/>
    <col min="18" max="22" width="7.26953125" style="87" customWidth="1"/>
    <col min="23" max="25" width="6.7265625" style="87" customWidth="1"/>
    <col min="26" max="26" width="6.26953125" style="87" customWidth="1"/>
    <col min="27" max="27" width="9.1796875" style="87"/>
    <col min="28" max="16384" width="9.1796875" style="83"/>
  </cols>
  <sheetData>
    <row r="1" spans="1:24" s="79" customFormat="1" ht="30" customHeight="1" thickBot="1" x14ac:dyDescent="0.65">
      <c r="B1" s="80"/>
      <c r="C1" s="960" t="s">
        <v>127</v>
      </c>
      <c r="D1" s="961"/>
      <c r="E1" s="961"/>
      <c r="F1" s="961"/>
      <c r="G1" s="961"/>
      <c r="H1" s="961"/>
      <c r="I1" s="961"/>
      <c r="J1" s="961"/>
      <c r="K1" s="938" t="str">
        <f>BEGINBLAD!$I$3</f>
        <v>groep 7</v>
      </c>
      <c r="L1" s="938"/>
      <c r="M1" s="938"/>
      <c r="N1" s="938"/>
      <c r="O1" s="938"/>
      <c r="P1" s="241"/>
      <c r="X1" s="82"/>
    </row>
    <row r="2" spans="1:24" ht="24" customHeight="1" x14ac:dyDescent="0.25">
      <c r="C2" s="953" t="str">
        <f>BEGINBLAD!$N$3</f>
        <v>nov.</v>
      </c>
      <c r="D2" s="953"/>
      <c r="E2" s="242"/>
      <c r="F2" s="243" t="str">
        <f>BEGINBLAD!$O$3</f>
        <v>apr.</v>
      </c>
      <c r="G2" s="954">
        <f>BEGINBLAD!$P$3</f>
        <v>2020</v>
      </c>
      <c r="H2" s="954"/>
      <c r="I2" s="954"/>
      <c r="M2" s="85"/>
      <c r="N2" s="86"/>
      <c r="O2" s="86"/>
    </row>
    <row r="3" spans="1:24" ht="13" thickBot="1" x14ac:dyDescent="0.3">
      <c r="M3" s="91"/>
      <c r="N3" s="91"/>
      <c r="O3" s="91"/>
      <c r="P3" s="91"/>
    </row>
    <row r="4" spans="1:24" ht="140.15" customHeight="1" x14ac:dyDescent="0.25">
      <c r="C4" s="92"/>
      <c r="D4" s="93"/>
      <c r="E4" s="94"/>
      <c r="F4" s="95" t="s">
        <v>5</v>
      </c>
      <c r="G4" s="96" t="s">
        <v>65</v>
      </c>
      <c r="H4" s="97" t="s">
        <v>130</v>
      </c>
      <c r="I4" s="98" t="s">
        <v>15</v>
      </c>
      <c r="J4" s="237"/>
      <c r="K4" s="96" t="s">
        <v>65</v>
      </c>
      <c r="L4" s="100" t="s">
        <v>131</v>
      </c>
      <c r="M4" s="98" t="s">
        <v>15</v>
      </c>
      <c r="N4" s="237"/>
      <c r="O4" s="102"/>
    </row>
    <row r="5" spans="1:24" ht="19.5" customHeight="1" x14ac:dyDescent="0.25">
      <c r="A5" s="103"/>
      <c r="B5" s="913" t="s">
        <v>2</v>
      </c>
      <c r="C5" s="104" t="s">
        <v>68</v>
      </c>
      <c r="D5" s="105">
        <v>0</v>
      </c>
      <c r="E5" s="106">
        <v>1</v>
      </c>
      <c r="F5" s="175" t="str">
        <f>BEGINBLAD!C5</f>
        <v>leerling 1</v>
      </c>
      <c r="G5" s="108">
        <f>'NIVEAU WAARDE - vorig jaar'!F9</f>
        <v>4.2</v>
      </c>
      <c r="H5" s="109">
        <f>'NIVEAU WAARDE - 1e toetsperiode'!F9</f>
        <v>4.7</v>
      </c>
      <c r="I5" s="110" t="str">
        <f>IF(H5=0,"",IF(H5&gt;4.5,"A-1+",IF(H5&gt;4,"A-1",IF(H5&gt;=4,"A-2",IF(H5&gt;3.4,"B-2",IF(H5&gt;=3,"B-3",IF(H5&gt;2.5,"C-3",IF(H5&gt;=2,"C-4",IF(H5&gt;1.6,"D-4",IF(H5&gt;=1,"D-5",IF(H5&gt;0.5,"E-5",IF(H5&gt;=0,"E-5-"))))))))))))</f>
        <v>A-1+</v>
      </c>
      <c r="J5" s="238" t="str">
        <f>IF(H5=0,"",IF(G5-H5&gt;0.5,"!",IF(H5-G5&gt;0.5,"*",IF(H5-G5&lt;=0.5,""))))</f>
        <v/>
      </c>
      <c r="K5" s="246"/>
      <c r="L5" s="111"/>
      <c r="M5" s="110" t="str">
        <f>IF(L5=0,"",IF(L5&gt;4.5,"A-1+",IF(L5&gt;4,"A-1",IF(L5&gt;=4,"A-2",IF(L5&gt;3.4,"B-2",IF(L5&gt;=3,"B-3",IF(L5&gt;2.5,"C-3",IF(L5&gt;=2,"C-4",IF(L5&gt;1.6,"D-4",IF(L5&gt;=1,"D-5",IF(L5&gt;0.5,"E-5",IF(L5&gt;=0,"E-5-"))))))))))))</f>
        <v/>
      </c>
      <c r="N5" s="238" t="str">
        <f>IF(L5=0,"",IF(K5-L5&gt;0.5,"!",IF(L5-K5&gt;0.5,"*",IF(L5-K5&lt;=0.5,""))))</f>
        <v/>
      </c>
      <c r="O5" s="113"/>
    </row>
    <row r="6" spans="1:24" ht="19.5" customHeight="1" x14ac:dyDescent="0.25">
      <c r="A6" s="103"/>
      <c r="B6" s="913"/>
      <c r="C6" s="114" t="s">
        <v>69</v>
      </c>
      <c r="D6" s="105">
        <v>0</v>
      </c>
      <c r="E6" s="106">
        <v>2</v>
      </c>
      <c r="F6" s="107" t="str">
        <f>BEGINBLAD!C6</f>
        <v>leerling 2</v>
      </c>
      <c r="G6" s="108">
        <f>'NIVEAU WAARDE - vorig jaar'!F10</f>
        <v>2.5</v>
      </c>
      <c r="H6" s="109">
        <f>'NIVEAU WAARDE - 1e toetsperiode'!F10</f>
        <v>3.6</v>
      </c>
      <c r="I6" s="110" t="str">
        <f t="shared" ref="I6:I40" si="0">IF(H6=0,"",IF(H6&gt;4.5,"A-1+",IF(H6&gt;4,"A-1",IF(H6&gt;=4,"A-2",IF(H6&gt;3.4,"B-2",IF(H6&gt;=3,"B-3",IF(H6&gt;2.5,"C-3",IF(H6&gt;=2,"C-4",IF(H6&gt;1.6,"D-4",IF(H6&gt;=1,"D-5",IF(H6&gt;0.5,"E-5",IF(H6&gt;=0,"E-5-"))))))))))))</f>
        <v>B-2</v>
      </c>
      <c r="J6" s="238" t="str">
        <f t="shared" ref="J6:J40" si="1">IF(H6=0,"",IF(G6-H6&gt;0.5,"!",IF(H6-G6&gt;0.5,"*",IF(H6-G6&lt;=0.5,""))))</f>
        <v>*</v>
      </c>
      <c r="K6" s="246"/>
      <c r="L6" s="111"/>
      <c r="M6" s="110" t="str">
        <f>IF(L6=0,"",IF(L6&gt;4.5,"A-1+",IF(L6&gt;4,"A-1",IF(L6&gt;=4,"A-2",IF(L6&gt;3.4,"B-2",IF(L6&gt;=3,"B-3",IF(L6&gt;2.5,"C-3",IF(L6&gt;=2,"C-4",IF(L6&gt;1.6,"D-4",IF(L6&gt;=1,"D-5",IF(L6&gt;0.5,"E-5",IF(L6&gt;=0,"E-5-"))))))))))))</f>
        <v/>
      </c>
      <c r="N6" s="238" t="str">
        <f>IF(L6=0,"",IF(K6-L6&gt;0.5,"!",IF(L6-K6&gt;0.5,"*",IF(L6-K6&lt;=0.5,""))))</f>
        <v/>
      </c>
      <c r="O6" s="113"/>
      <c r="R6" s="158"/>
      <c r="S6" s="158"/>
      <c r="T6" s="158"/>
      <c r="U6" s="158"/>
      <c r="V6" s="158"/>
    </row>
    <row r="7" spans="1:24" ht="19.5" customHeight="1" x14ac:dyDescent="0.25">
      <c r="A7" s="115"/>
      <c r="B7" s="369">
        <v>8</v>
      </c>
      <c r="C7" s="371" t="s">
        <v>461</v>
      </c>
      <c r="D7" s="105">
        <v>0</v>
      </c>
      <c r="E7" s="106">
        <v>3</v>
      </c>
      <c r="F7" s="107" t="str">
        <f>BEGINBLAD!C7</f>
        <v>leerling 3</v>
      </c>
      <c r="G7" s="108">
        <f>'NIVEAU WAARDE - vorig jaar'!F11</f>
        <v>4.8</v>
      </c>
      <c r="H7" s="109">
        <f>'NIVEAU WAARDE - 1e toetsperiode'!F11</f>
        <v>4</v>
      </c>
      <c r="I7" s="110" t="str">
        <f t="shared" si="0"/>
        <v>A-2</v>
      </c>
      <c r="J7" s="238" t="str">
        <f t="shared" si="1"/>
        <v>!</v>
      </c>
      <c r="K7" s="246"/>
      <c r="L7" s="111"/>
      <c r="M7" s="110" t="str">
        <f t="shared" ref="M7:M40" si="2">IF(L7=0,"",IF(L7&gt;4.5,"A-1+",IF(L7&gt;4,"A-1",IF(L7&gt;=4,"A-2",IF(L7&gt;3.4,"B-2",IF(L7&gt;=3,"B-3",IF(L7&gt;2.5,"C-3",IF(L7&gt;=2,"C-4",IF(L7&gt;1.6,"D-4",IF(L7&gt;=1,"D-5",IF(L7&gt;0.5,"E-5",IF(L7&gt;=0,"E-5-"))))))))))))</f>
        <v/>
      </c>
      <c r="N7" s="238" t="str">
        <f t="shared" ref="N7:N40" si="3">IF(L7=0,"",IF(K7-L7&gt;0.5,"!",IF(L7-K7&gt;0.5,"*",IF(L7-K7&lt;=0.5,""))))</f>
        <v/>
      </c>
      <c r="O7" s="113"/>
      <c r="R7" s="159"/>
      <c r="S7" s="159"/>
      <c r="T7" s="159"/>
      <c r="U7" s="159"/>
      <c r="V7" s="159"/>
    </row>
    <row r="8" spans="1:24" ht="19.5" customHeight="1" x14ac:dyDescent="0.25">
      <c r="A8" s="115"/>
      <c r="B8" s="369">
        <v>8</v>
      </c>
      <c r="C8" s="371" t="s">
        <v>367</v>
      </c>
      <c r="D8" s="118">
        <v>0</v>
      </c>
      <c r="E8" s="106">
        <v>4</v>
      </c>
      <c r="F8" s="107" t="str">
        <f>BEGINBLAD!C8</f>
        <v>leerling 4</v>
      </c>
      <c r="G8" s="108">
        <f>'NIVEAU WAARDE - vorig jaar'!F12</f>
        <v>4.8</v>
      </c>
      <c r="H8" s="109">
        <f>'NIVEAU WAARDE - 1e toetsperiode'!F12</f>
        <v>4.7</v>
      </c>
      <c r="I8" s="110" t="str">
        <f t="shared" si="0"/>
        <v>A-1+</v>
      </c>
      <c r="J8" s="238" t="str">
        <f t="shared" si="1"/>
        <v/>
      </c>
      <c r="K8" s="246"/>
      <c r="L8" s="119"/>
      <c r="M8" s="110" t="str">
        <f t="shared" si="2"/>
        <v/>
      </c>
      <c r="N8" s="238" t="str">
        <f t="shared" si="3"/>
        <v/>
      </c>
      <c r="O8" s="120"/>
      <c r="R8" s="159"/>
      <c r="S8" s="159"/>
      <c r="T8" s="159"/>
      <c r="U8" s="159"/>
      <c r="V8" s="159"/>
    </row>
    <row r="9" spans="1:24" ht="19.5" customHeight="1" x14ac:dyDescent="0.25">
      <c r="A9" s="115"/>
      <c r="B9" s="369">
        <v>8</v>
      </c>
      <c r="C9" s="371" t="s">
        <v>465</v>
      </c>
      <c r="D9" s="121">
        <v>0</v>
      </c>
      <c r="E9" s="106">
        <v>5</v>
      </c>
      <c r="F9" s="107" t="str">
        <f>BEGINBLAD!C9</f>
        <v>leerling 5</v>
      </c>
      <c r="G9" s="108">
        <f>'NIVEAU WAARDE - vorig jaar'!F13</f>
        <v>4.5</v>
      </c>
      <c r="H9" s="109">
        <f>'NIVEAU WAARDE - 1e toetsperiode'!F13</f>
        <v>5</v>
      </c>
      <c r="I9" s="110" t="str">
        <f t="shared" si="0"/>
        <v>A-1+</v>
      </c>
      <c r="J9" s="238" t="str">
        <f t="shared" si="1"/>
        <v/>
      </c>
      <c r="K9" s="246"/>
      <c r="L9" s="122"/>
      <c r="M9" s="110" t="str">
        <f t="shared" si="2"/>
        <v/>
      </c>
      <c r="N9" s="238" t="str">
        <f t="shared" si="3"/>
        <v/>
      </c>
      <c r="O9" s="123"/>
      <c r="R9" s="159"/>
      <c r="S9" s="159"/>
      <c r="T9" s="159"/>
      <c r="U9" s="159"/>
      <c r="V9" s="159"/>
    </row>
    <row r="10" spans="1:24" ht="19.5" customHeight="1" x14ac:dyDescent="0.25">
      <c r="A10" s="115"/>
      <c r="B10" s="369">
        <v>8</v>
      </c>
      <c r="C10" s="371" t="s">
        <v>466</v>
      </c>
      <c r="D10" s="124">
        <v>0</v>
      </c>
      <c r="E10" s="106">
        <v>6</v>
      </c>
      <c r="F10" s="107" t="str">
        <f>BEGINBLAD!C10</f>
        <v>leerling 6</v>
      </c>
      <c r="G10" s="108">
        <f>'NIVEAU WAARDE - vorig jaar'!F14</f>
        <v>1.2</v>
      </c>
      <c r="H10" s="109">
        <f>'NIVEAU WAARDE - 1e toetsperiode'!F14</f>
        <v>1</v>
      </c>
      <c r="I10" s="110" t="str">
        <f t="shared" si="0"/>
        <v>D-5</v>
      </c>
      <c r="J10" s="238" t="str">
        <f t="shared" si="1"/>
        <v/>
      </c>
      <c r="K10" s="246"/>
      <c r="L10" s="122"/>
      <c r="M10" s="110" t="str">
        <f t="shared" si="2"/>
        <v/>
      </c>
      <c r="N10" s="238" t="str">
        <f t="shared" si="3"/>
        <v/>
      </c>
      <c r="O10" s="125"/>
      <c r="R10" s="159"/>
      <c r="S10" s="159"/>
      <c r="T10" s="159"/>
      <c r="U10" s="159"/>
      <c r="V10" s="159"/>
    </row>
    <row r="11" spans="1:24" ht="19.5" customHeight="1" x14ac:dyDescent="0.25">
      <c r="A11" s="115"/>
      <c r="B11" s="369">
        <v>8</v>
      </c>
      <c r="C11" s="371" t="s">
        <v>245</v>
      </c>
      <c r="D11" s="124">
        <v>0</v>
      </c>
      <c r="E11" s="106">
        <v>7</v>
      </c>
      <c r="F11" s="107" t="str">
        <f>BEGINBLAD!C11</f>
        <v>leerling 7</v>
      </c>
      <c r="G11" s="108">
        <f>'NIVEAU WAARDE - vorig jaar'!F15</f>
        <v>3.8</v>
      </c>
      <c r="H11" s="109">
        <f>'NIVEAU WAARDE - 1e toetsperiode'!F15</f>
        <v>2</v>
      </c>
      <c r="I11" s="110" t="str">
        <f t="shared" si="0"/>
        <v>C-4</v>
      </c>
      <c r="J11" s="238" t="str">
        <f t="shared" si="1"/>
        <v>!</v>
      </c>
      <c r="K11" s="246"/>
      <c r="L11" s="122"/>
      <c r="M11" s="110" t="str">
        <f t="shared" si="2"/>
        <v/>
      </c>
      <c r="N11" s="238" t="str">
        <f t="shared" si="3"/>
        <v/>
      </c>
      <c r="O11" s="91"/>
      <c r="R11" s="159"/>
      <c r="S11" s="159"/>
      <c r="T11" s="159"/>
      <c r="U11" s="159"/>
      <c r="V11" s="159"/>
    </row>
    <row r="12" spans="1:24" ht="19.5" customHeight="1" x14ac:dyDescent="0.25">
      <c r="A12" s="115"/>
      <c r="B12" s="369">
        <v>8</v>
      </c>
      <c r="C12" s="371" t="s">
        <v>466</v>
      </c>
      <c r="D12" s="105">
        <v>0</v>
      </c>
      <c r="E12" s="106">
        <v>8</v>
      </c>
      <c r="F12" s="107" t="str">
        <f>BEGINBLAD!C12</f>
        <v>leerling 8</v>
      </c>
      <c r="G12" s="108">
        <f>'NIVEAU WAARDE - vorig jaar'!F16</f>
        <v>3.4</v>
      </c>
      <c r="H12" s="109">
        <f>'NIVEAU WAARDE - 1e toetsperiode'!F16</f>
        <v>4.7</v>
      </c>
      <c r="I12" s="110" t="str">
        <f t="shared" si="0"/>
        <v>A-1+</v>
      </c>
      <c r="J12" s="238" t="str">
        <f t="shared" si="1"/>
        <v>*</v>
      </c>
      <c r="K12" s="246"/>
      <c r="L12" s="122"/>
      <c r="M12" s="110" t="str">
        <f t="shared" si="2"/>
        <v/>
      </c>
      <c r="N12" s="238" t="str">
        <f t="shared" si="3"/>
        <v/>
      </c>
      <c r="O12" s="102"/>
      <c r="R12" s="159"/>
      <c r="S12" s="159"/>
      <c r="T12" s="159"/>
      <c r="U12" s="159"/>
      <c r="V12" s="159"/>
    </row>
    <row r="13" spans="1:24" ht="19.5" customHeight="1" x14ac:dyDescent="0.25">
      <c r="A13" s="115"/>
      <c r="B13" s="369">
        <v>8</v>
      </c>
      <c r="C13" s="371" t="s">
        <v>260</v>
      </c>
      <c r="D13" s="105">
        <v>0</v>
      </c>
      <c r="E13" s="106">
        <v>9</v>
      </c>
      <c r="F13" s="107" t="str">
        <f>BEGINBLAD!C13</f>
        <v>leerling 9</v>
      </c>
      <c r="G13" s="108">
        <f>'NIVEAU WAARDE - vorig jaar'!F17</f>
        <v>2</v>
      </c>
      <c r="H13" s="109">
        <f>'NIVEAU WAARDE - 1e toetsperiode'!F17</f>
        <v>3.2</v>
      </c>
      <c r="I13" s="110" t="str">
        <f t="shared" si="0"/>
        <v>B-3</v>
      </c>
      <c r="J13" s="238" t="str">
        <f t="shared" si="1"/>
        <v>*</v>
      </c>
      <c r="K13" s="246"/>
      <c r="L13" s="122"/>
      <c r="M13" s="110" t="str">
        <f t="shared" si="2"/>
        <v/>
      </c>
      <c r="N13" s="238" t="str">
        <f t="shared" si="3"/>
        <v/>
      </c>
      <c r="O13" s="113"/>
      <c r="R13" s="160"/>
      <c r="S13" s="160"/>
      <c r="T13" s="160"/>
      <c r="U13" s="160"/>
      <c r="V13" s="160"/>
    </row>
    <row r="14" spans="1:24" ht="19.5" customHeight="1" thickBot="1" x14ac:dyDescent="0.3">
      <c r="A14" s="115"/>
      <c r="B14" s="369">
        <v>8</v>
      </c>
      <c r="C14" s="371" t="s">
        <v>461</v>
      </c>
      <c r="D14" s="105">
        <v>0</v>
      </c>
      <c r="E14" s="106">
        <v>10</v>
      </c>
      <c r="F14" s="107" t="str">
        <f>BEGINBLAD!C14</f>
        <v>leerling 10</v>
      </c>
      <c r="G14" s="108">
        <f>'NIVEAU WAARDE - vorig jaar'!F18</f>
        <v>4.8</v>
      </c>
      <c r="H14" s="109">
        <f>'NIVEAU WAARDE - 1e toetsperiode'!F18</f>
        <v>4.7</v>
      </c>
      <c r="I14" s="110" t="str">
        <f t="shared" si="0"/>
        <v>A-1+</v>
      </c>
      <c r="J14" s="238" t="str">
        <f t="shared" si="1"/>
        <v/>
      </c>
      <c r="K14" s="246"/>
      <c r="L14" s="122"/>
      <c r="M14" s="110" t="str">
        <f t="shared" si="2"/>
        <v/>
      </c>
      <c r="N14" s="238" t="str">
        <f t="shared" si="3"/>
        <v/>
      </c>
      <c r="O14" s="120"/>
      <c r="P14" s="126" t="s">
        <v>13</v>
      </c>
      <c r="R14" s="160"/>
      <c r="S14" s="160"/>
      <c r="T14" s="160"/>
      <c r="U14" s="160"/>
      <c r="V14" s="160"/>
    </row>
    <row r="15" spans="1:24" ht="19.5" customHeight="1" x14ac:dyDescent="0.25">
      <c r="A15" s="115"/>
      <c r="B15" s="369"/>
      <c r="C15" s="371"/>
      <c r="D15" s="105">
        <v>0</v>
      </c>
      <c r="E15" s="106">
        <v>11</v>
      </c>
      <c r="F15" s="107" t="str">
        <f>BEGINBLAD!C15</f>
        <v>leerling 11</v>
      </c>
      <c r="G15" s="108">
        <f>'NIVEAU WAARDE - vorig jaar'!F19</f>
        <v>3.8</v>
      </c>
      <c r="H15" s="109">
        <f>'NIVEAU WAARDE - 1e toetsperiode'!F19</f>
        <v>3.2</v>
      </c>
      <c r="I15" s="110" t="str">
        <f t="shared" si="0"/>
        <v>B-3</v>
      </c>
      <c r="J15" s="238" t="str">
        <f t="shared" si="1"/>
        <v>!</v>
      </c>
      <c r="K15" s="246"/>
      <c r="L15" s="122"/>
      <c r="M15" s="110" t="str">
        <f t="shared" si="2"/>
        <v/>
      </c>
      <c r="N15" s="238" t="str">
        <f t="shared" si="3"/>
        <v/>
      </c>
      <c r="O15" s="957" t="s">
        <v>70</v>
      </c>
      <c r="P15" s="962" t="str">
        <f>'INTENSIEF - 1e periode'!F6</f>
        <v>Een actieve houding bij begrijpend lezen, een eigen kritische houding ten aanzien van het begrip, van elkaar leren bij het begrijpend lezen.</v>
      </c>
      <c r="R15" s="160"/>
      <c r="S15" s="160"/>
      <c r="T15" s="160"/>
      <c r="U15" s="160"/>
      <c r="V15" s="160"/>
    </row>
    <row r="16" spans="1:24" ht="19.5" customHeight="1" x14ac:dyDescent="0.25">
      <c r="A16" s="115"/>
      <c r="B16" s="116"/>
      <c r="C16" s="117"/>
      <c r="D16" s="105">
        <v>0</v>
      </c>
      <c r="E16" s="106">
        <v>12</v>
      </c>
      <c r="F16" s="107" t="str">
        <f>BEGINBLAD!C16</f>
        <v>leerling 12</v>
      </c>
      <c r="G16" s="108">
        <f>'NIVEAU WAARDE - vorig jaar'!F20</f>
        <v>2.2000000000000002</v>
      </c>
      <c r="H16" s="109">
        <f>'NIVEAU WAARDE - 1e toetsperiode'!F20</f>
        <v>2.5</v>
      </c>
      <c r="I16" s="110" t="str">
        <f t="shared" si="0"/>
        <v>C-4</v>
      </c>
      <c r="J16" s="238" t="str">
        <f t="shared" si="1"/>
        <v/>
      </c>
      <c r="K16" s="246"/>
      <c r="L16" s="122"/>
      <c r="M16" s="110" t="str">
        <f t="shared" si="2"/>
        <v/>
      </c>
      <c r="N16" s="238" t="str">
        <f t="shared" si="3"/>
        <v/>
      </c>
      <c r="O16" s="958"/>
      <c r="P16" s="963"/>
      <c r="R16" s="160"/>
      <c r="S16" s="160"/>
      <c r="T16" s="160"/>
      <c r="U16" s="160"/>
      <c r="V16" s="160"/>
    </row>
    <row r="17" spans="1:24" ht="19.5" customHeight="1" x14ac:dyDescent="0.25">
      <c r="A17" s="115"/>
      <c r="B17" s="116"/>
      <c r="C17" s="117"/>
      <c r="D17" s="118">
        <v>0</v>
      </c>
      <c r="E17" s="106">
        <v>13</v>
      </c>
      <c r="F17" s="107" t="str">
        <f>BEGINBLAD!C17</f>
        <v>leerling 13</v>
      </c>
      <c r="G17" s="108">
        <f>'NIVEAU WAARDE - vorig jaar'!F21</f>
        <v>4.2</v>
      </c>
      <c r="H17" s="109">
        <f>'NIVEAU WAARDE - 1e toetsperiode'!F21</f>
        <v>3.6</v>
      </c>
      <c r="I17" s="110" t="str">
        <f t="shared" si="0"/>
        <v>B-2</v>
      </c>
      <c r="J17" s="238" t="str">
        <f t="shared" si="1"/>
        <v>!</v>
      </c>
      <c r="K17" s="246"/>
      <c r="L17" s="122"/>
      <c r="M17" s="110" t="str">
        <f t="shared" si="2"/>
        <v/>
      </c>
      <c r="N17" s="238" t="str">
        <f t="shared" si="3"/>
        <v/>
      </c>
      <c r="O17" s="966" t="s">
        <v>71</v>
      </c>
      <c r="P17" s="964" t="str">
        <f>'INTENSIEF - 1e periode'!F8</f>
        <v xml:space="preserve">Op maandag doen we een les Nieuwsbegrip of een 'sessie' Close reading. De actieve houding staat centraal; door verschillende tekstsoorten aan te bieden ook een negatieve houding proberen te voorkomen/te veranderen. Op de computer doen de lln. één onderdeel van Nieuwsbegrip. Daarnaast nog een les Blits-studievaardigheden. Verder staat bij Topondernemers ook het 'begrip' centraal. Kinderen die onvoldoende/matig scoren krijgen als extra verplicht werk alle online onderdelen van Nieuwsbegrip. </v>
      </c>
      <c r="R17" s="133"/>
      <c r="S17" s="133"/>
      <c r="T17" s="133"/>
      <c r="U17" s="133"/>
      <c r="V17" s="133"/>
    </row>
    <row r="18" spans="1:24" ht="19.5" customHeight="1" x14ac:dyDescent="0.25">
      <c r="A18" s="115"/>
      <c r="B18" s="116"/>
      <c r="C18" s="117"/>
      <c r="D18" s="124">
        <v>0</v>
      </c>
      <c r="E18" s="106">
        <v>14</v>
      </c>
      <c r="F18" s="107" t="str">
        <f>BEGINBLAD!C18</f>
        <v>leerling 14</v>
      </c>
      <c r="G18" s="108">
        <f>'NIVEAU WAARDE - vorig jaar'!F22</f>
        <v>2.8</v>
      </c>
      <c r="H18" s="109">
        <f>'NIVEAU WAARDE - 1e toetsperiode'!F22</f>
        <v>4.7</v>
      </c>
      <c r="I18" s="110" t="str">
        <f t="shared" si="0"/>
        <v>A-1+</v>
      </c>
      <c r="J18" s="238" t="str">
        <f t="shared" si="1"/>
        <v>*</v>
      </c>
      <c r="K18" s="246"/>
      <c r="L18" s="122"/>
      <c r="M18" s="110" t="str">
        <f t="shared" si="2"/>
        <v/>
      </c>
      <c r="N18" s="238" t="str">
        <f t="shared" si="3"/>
        <v/>
      </c>
      <c r="O18" s="966"/>
      <c r="P18" s="964"/>
      <c r="Q18" s="103"/>
      <c r="R18" s="127"/>
      <c r="S18" s="127"/>
      <c r="T18" s="127"/>
      <c r="U18" s="127"/>
      <c r="V18" s="127"/>
      <c r="W18" s="127"/>
    </row>
    <row r="19" spans="1:24" ht="19.5" customHeight="1" x14ac:dyDescent="0.3">
      <c r="D19" s="124">
        <v>0</v>
      </c>
      <c r="E19" s="106">
        <v>15</v>
      </c>
      <c r="F19" s="107" t="str">
        <f>BEGINBLAD!C19</f>
        <v>leerling 15</v>
      </c>
      <c r="G19" s="108">
        <f>'NIVEAU WAARDE - vorig jaar'!F23</f>
        <v>2.5</v>
      </c>
      <c r="H19" s="109">
        <f>'NIVEAU WAARDE - 1e toetsperiode'!F23</f>
        <v>3.6</v>
      </c>
      <c r="I19" s="110" t="str">
        <f t="shared" si="0"/>
        <v>B-2</v>
      </c>
      <c r="J19" s="238" t="str">
        <f t="shared" si="1"/>
        <v>*</v>
      </c>
      <c r="K19" s="128"/>
      <c r="L19" s="119"/>
      <c r="M19" s="110" t="str">
        <f t="shared" si="2"/>
        <v/>
      </c>
      <c r="N19" s="238" t="str">
        <f t="shared" si="3"/>
        <v/>
      </c>
      <c r="O19" s="966"/>
      <c r="P19" s="964"/>
      <c r="Q19" s="129"/>
      <c r="R19" s="130"/>
      <c r="S19" s="130"/>
      <c r="T19" s="130"/>
      <c r="U19" s="131"/>
      <c r="V19" s="131"/>
      <c r="W19" s="131"/>
      <c r="X19" s="132"/>
    </row>
    <row r="20" spans="1:24" ht="19.5" customHeight="1" x14ac:dyDescent="0.25">
      <c r="D20" s="124">
        <v>0</v>
      </c>
      <c r="E20" s="106">
        <v>16</v>
      </c>
      <c r="F20" s="107" t="str">
        <f>BEGINBLAD!C20</f>
        <v>leerling 16</v>
      </c>
      <c r="G20" s="108">
        <f>'NIVEAU WAARDE - vorig jaar'!F24</f>
        <v>4.2</v>
      </c>
      <c r="H20" s="109">
        <f>'NIVEAU WAARDE - 1e toetsperiode'!F24</f>
        <v>2.2999999999999998</v>
      </c>
      <c r="I20" s="110" t="str">
        <f t="shared" si="0"/>
        <v>C-4</v>
      </c>
      <c r="J20" s="238" t="str">
        <f t="shared" si="1"/>
        <v>!</v>
      </c>
      <c r="K20" s="128"/>
      <c r="L20" s="119"/>
      <c r="M20" s="110" t="str">
        <f t="shared" si="2"/>
        <v/>
      </c>
      <c r="N20" s="238" t="str">
        <f t="shared" si="3"/>
        <v/>
      </c>
      <c r="O20" s="966"/>
      <c r="P20" s="964"/>
      <c r="Q20" s="129"/>
      <c r="R20" s="133"/>
      <c r="S20" s="133"/>
      <c r="T20" s="133"/>
      <c r="U20" s="133"/>
      <c r="V20" s="133"/>
      <c r="W20" s="133"/>
    </row>
    <row r="21" spans="1:24" ht="19.5" customHeight="1" x14ac:dyDescent="0.25">
      <c r="D21" s="124">
        <v>0</v>
      </c>
      <c r="E21" s="106">
        <v>17</v>
      </c>
      <c r="F21" s="107" t="str">
        <f>BEGINBLAD!C21</f>
        <v>leerling 17</v>
      </c>
      <c r="G21" s="108">
        <f>'NIVEAU WAARDE - vorig jaar'!F25</f>
        <v>3.8</v>
      </c>
      <c r="H21" s="109">
        <f>'NIVEAU WAARDE - 1e toetsperiode'!F25</f>
        <v>4</v>
      </c>
      <c r="I21" s="110" t="str">
        <f t="shared" si="0"/>
        <v>A-2</v>
      </c>
      <c r="J21" s="238" t="str">
        <f t="shared" si="1"/>
        <v/>
      </c>
      <c r="K21" s="128"/>
      <c r="L21" s="134"/>
      <c r="M21" s="110" t="str">
        <f t="shared" si="2"/>
        <v/>
      </c>
      <c r="N21" s="238" t="str">
        <f t="shared" si="3"/>
        <v/>
      </c>
      <c r="O21" s="966"/>
      <c r="P21" s="964"/>
      <c r="Q21" s="129"/>
      <c r="R21" s="133"/>
      <c r="S21" s="133"/>
      <c r="T21" s="133"/>
      <c r="U21" s="133"/>
      <c r="V21" s="133"/>
      <c r="W21" s="133"/>
    </row>
    <row r="22" spans="1:24" ht="19.5" customHeight="1" x14ac:dyDescent="0.25">
      <c r="D22" s="124">
        <v>0</v>
      </c>
      <c r="E22" s="106">
        <v>18</v>
      </c>
      <c r="F22" s="107" t="str">
        <f>BEGINBLAD!C22</f>
        <v>leerling 18</v>
      </c>
      <c r="G22" s="108">
        <f>'NIVEAU WAARDE - vorig jaar'!F26</f>
        <v>3.4</v>
      </c>
      <c r="H22" s="109">
        <f>'NIVEAU WAARDE - 1e toetsperiode'!F26</f>
        <v>2.9</v>
      </c>
      <c r="I22" s="110" t="str">
        <f t="shared" si="0"/>
        <v>C-3</v>
      </c>
      <c r="J22" s="238" t="str">
        <f t="shared" si="1"/>
        <v/>
      </c>
      <c r="K22" s="128"/>
      <c r="L22" s="111"/>
      <c r="M22" s="110" t="str">
        <f t="shared" si="2"/>
        <v/>
      </c>
      <c r="N22" s="238" t="str">
        <f t="shared" si="3"/>
        <v/>
      </c>
      <c r="O22" s="966"/>
      <c r="P22" s="964"/>
      <c r="Q22" s="129"/>
      <c r="R22" s="133"/>
      <c r="S22" s="133"/>
      <c r="T22" s="133"/>
      <c r="U22" s="133"/>
      <c r="V22" s="133"/>
      <c r="W22" s="133"/>
    </row>
    <row r="23" spans="1:24" ht="19.5" customHeight="1" x14ac:dyDescent="0.25">
      <c r="B23" s="135"/>
      <c r="C23" s="135"/>
      <c r="D23" s="124">
        <v>0</v>
      </c>
      <c r="E23" s="106">
        <v>19</v>
      </c>
      <c r="F23" s="107" t="str">
        <f>BEGINBLAD!C23</f>
        <v>leerling 19</v>
      </c>
      <c r="G23" s="108">
        <f>'NIVEAU WAARDE - vorig jaar'!F27</f>
        <v>3.1</v>
      </c>
      <c r="H23" s="109">
        <f>'NIVEAU WAARDE - 1e toetsperiode'!F27</f>
        <v>2</v>
      </c>
      <c r="I23" s="110" t="str">
        <f t="shared" si="0"/>
        <v>C-4</v>
      </c>
      <c r="J23" s="238" t="str">
        <f t="shared" si="1"/>
        <v>!</v>
      </c>
      <c r="K23" s="128"/>
      <c r="L23" s="134"/>
      <c r="M23" s="110" t="str">
        <f t="shared" si="2"/>
        <v/>
      </c>
      <c r="N23" s="238" t="str">
        <f t="shared" si="3"/>
        <v/>
      </c>
      <c r="O23" s="966"/>
      <c r="P23" s="964"/>
    </row>
    <row r="24" spans="1:24" ht="19.5" customHeight="1" thickBot="1" x14ac:dyDescent="0.3">
      <c r="B24" s="136"/>
      <c r="C24" s="135"/>
      <c r="D24" s="124">
        <v>0</v>
      </c>
      <c r="E24" s="106">
        <v>20</v>
      </c>
      <c r="F24" s="107" t="str">
        <f>BEGINBLAD!C24</f>
        <v>leerling 20</v>
      </c>
      <c r="G24" s="108">
        <f>'NIVEAU WAARDE - vorig jaar'!F28</f>
        <v>1.7</v>
      </c>
      <c r="H24" s="109">
        <f>'NIVEAU WAARDE - 1e toetsperiode'!F28</f>
        <v>1.7</v>
      </c>
      <c r="I24" s="110" t="str">
        <f t="shared" si="0"/>
        <v>D-4</v>
      </c>
      <c r="J24" s="238" t="str">
        <f t="shared" si="1"/>
        <v/>
      </c>
      <c r="K24" s="137"/>
      <c r="L24" s="134"/>
      <c r="M24" s="110" t="str">
        <f t="shared" si="2"/>
        <v/>
      </c>
      <c r="N24" s="238" t="str">
        <f t="shared" si="3"/>
        <v/>
      </c>
      <c r="O24" s="967"/>
      <c r="P24" s="965"/>
      <c r="Q24" s="129"/>
      <c r="R24" s="133"/>
      <c r="S24" s="133"/>
      <c r="T24" s="133"/>
      <c r="U24" s="133"/>
      <c r="V24" s="133"/>
      <c r="W24" s="133"/>
    </row>
    <row r="25" spans="1:24" ht="19.5" customHeight="1" thickBot="1" x14ac:dyDescent="0.3">
      <c r="B25" s="136"/>
      <c r="C25" s="135"/>
      <c r="D25" s="124">
        <v>0</v>
      </c>
      <c r="E25" s="106">
        <v>21</v>
      </c>
      <c r="F25" s="107" t="str">
        <f>BEGINBLAD!C25</f>
        <v>leerling 21</v>
      </c>
      <c r="G25" s="108">
        <f>'NIVEAU WAARDE - vorig jaar'!F29</f>
        <v>3.1</v>
      </c>
      <c r="H25" s="109">
        <f>'NIVEAU WAARDE - 1e toetsperiode'!F29</f>
        <v>2</v>
      </c>
      <c r="I25" s="110" t="str">
        <f t="shared" si="0"/>
        <v>C-4</v>
      </c>
      <c r="J25" s="238" t="str">
        <f t="shared" si="1"/>
        <v>!</v>
      </c>
      <c r="K25" s="137"/>
      <c r="L25" s="134"/>
      <c r="M25" s="110" t="str">
        <f t="shared" si="2"/>
        <v/>
      </c>
      <c r="N25" s="238" t="str">
        <f t="shared" si="3"/>
        <v/>
      </c>
      <c r="O25" s="120"/>
      <c r="P25" s="126" t="s">
        <v>14</v>
      </c>
      <c r="Q25" s="129"/>
      <c r="R25" s="133"/>
      <c r="S25" s="133"/>
      <c r="T25" s="133"/>
      <c r="U25" s="133"/>
      <c r="V25" s="133"/>
      <c r="W25" s="133"/>
    </row>
    <row r="26" spans="1:24" ht="19.5" customHeight="1" x14ac:dyDescent="0.25">
      <c r="D26" s="124">
        <v>0</v>
      </c>
      <c r="E26" s="106">
        <v>22</v>
      </c>
      <c r="F26" s="107" t="str">
        <f>BEGINBLAD!C26</f>
        <v>leerling 22</v>
      </c>
      <c r="G26" s="108">
        <f>'NIVEAU WAARDE - vorig jaar'!F30</f>
        <v>2.5</v>
      </c>
      <c r="H26" s="109">
        <f>'NIVEAU WAARDE - 1e toetsperiode'!F30</f>
        <v>3.2</v>
      </c>
      <c r="I26" s="110" t="str">
        <f t="shared" si="0"/>
        <v>B-3</v>
      </c>
      <c r="J26" s="238" t="str">
        <f t="shared" si="1"/>
        <v>*</v>
      </c>
      <c r="K26" s="137"/>
      <c r="L26" s="134"/>
      <c r="M26" s="110" t="str">
        <f t="shared" si="2"/>
        <v/>
      </c>
      <c r="N26" s="238" t="str">
        <f t="shared" si="3"/>
        <v/>
      </c>
      <c r="O26" s="957" t="s">
        <v>70</v>
      </c>
      <c r="P26" s="962" t="str">
        <f>'BASISAANPAK - 1e periode'!F6</f>
        <v xml:space="preserve"> - woordleesniveau: niveauwaarden 0,5 punten omhoog
 - AVI niveau minimaal één niveau omhoog
 - leesplezier bevorderen</v>
      </c>
      <c r="Q26" s="103"/>
      <c r="R26" s="127"/>
      <c r="S26" s="127"/>
      <c r="T26" s="127"/>
      <c r="U26" s="127"/>
      <c r="V26" s="127"/>
      <c r="W26" s="127"/>
    </row>
    <row r="27" spans="1:24" s="139" customFormat="1" ht="19.5" customHeight="1" x14ac:dyDescent="0.55000000000000004">
      <c r="A27" s="103"/>
      <c r="B27" s="913" t="s">
        <v>2</v>
      </c>
      <c r="C27" s="104" t="s">
        <v>72</v>
      </c>
      <c r="D27" s="118">
        <v>0</v>
      </c>
      <c r="E27" s="106">
        <v>23</v>
      </c>
      <c r="F27" s="107" t="str">
        <f>BEGINBLAD!C27</f>
        <v>leerling 23</v>
      </c>
      <c r="G27" s="108">
        <f>'NIVEAU WAARDE - vorig jaar'!F31</f>
        <v>3.1</v>
      </c>
      <c r="H27" s="109">
        <f>'NIVEAU WAARDE - 1e toetsperiode'!F31</f>
        <v>4</v>
      </c>
      <c r="I27" s="110" t="str">
        <f t="shared" si="0"/>
        <v>A-2</v>
      </c>
      <c r="J27" s="238" t="str">
        <f t="shared" si="1"/>
        <v>*</v>
      </c>
      <c r="K27" s="137"/>
      <c r="L27" s="134"/>
      <c r="M27" s="110" t="str">
        <f t="shared" si="2"/>
        <v/>
      </c>
      <c r="N27" s="238" t="str">
        <f t="shared" si="3"/>
        <v/>
      </c>
      <c r="O27" s="958"/>
      <c r="P27" s="963"/>
      <c r="Q27" s="138"/>
      <c r="R27" s="138"/>
      <c r="S27" s="138"/>
      <c r="T27" s="138"/>
      <c r="U27" s="138"/>
      <c r="V27" s="138"/>
      <c r="W27" s="138"/>
    </row>
    <row r="28" spans="1:24" ht="19.5" customHeight="1" x14ac:dyDescent="0.6">
      <c r="A28" s="103"/>
      <c r="B28" s="913"/>
      <c r="C28" s="114" t="s">
        <v>69</v>
      </c>
      <c r="D28" s="118">
        <v>0</v>
      </c>
      <c r="E28" s="106">
        <v>24</v>
      </c>
      <c r="F28" s="107" t="str">
        <f>BEGINBLAD!C28</f>
        <v>leerling 24</v>
      </c>
      <c r="G28" s="108">
        <f>'NIVEAU WAARDE - vorig jaar'!F32</f>
        <v>0.1</v>
      </c>
      <c r="H28" s="109">
        <f>'NIVEAU WAARDE - 1e toetsperiode'!F32</f>
        <v>1</v>
      </c>
      <c r="I28" s="110" t="str">
        <f t="shared" si="0"/>
        <v>D-5</v>
      </c>
      <c r="J28" s="238" t="str">
        <f t="shared" si="1"/>
        <v>*</v>
      </c>
      <c r="K28" s="137"/>
      <c r="L28" s="134"/>
      <c r="M28" s="110" t="str">
        <f t="shared" si="2"/>
        <v/>
      </c>
      <c r="N28" s="238" t="str">
        <f t="shared" si="3"/>
        <v/>
      </c>
      <c r="O28" s="958" t="s">
        <v>71</v>
      </c>
      <c r="P28" s="968" t="str">
        <f>'BASISAANPAK - 1e periode'!F8</f>
        <v>Op maandag doen we een les Nieuwsbegrip of een 'sessie' Close reading. De actieve houding staat centraal; door verschillende tekstsoorten aan te bieden ook een negatieve houding proberen te voorkomen/te veranderen. Op de computer doen de lln. Nieuwsbegrip. Daarnaast nog een les Blits-studievaardigheden.</v>
      </c>
      <c r="Q28" s="91"/>
      <c r="R28" s="140"/>
      <c r="S28" s="102"/>
      <c r="T28" s="102"/>
      <c r="U28" s="102"/>
      <c r="V28" s="102"/>
      <c r="W28" s="102"/>
    </row>
    <row r="29" spans="1:24" ht="19.5" customHeight="1" x14ac:dyDescent="0.25">
      <c r="A29" s="115"/>
      <c r="B29" s="369"/>
      <c r="C29" s="371"/>
      <c r="D29" s="105">
        <v>0</v>
      </c>
      <c r="E29" s="106">
        <v>25</v>
      </c>
      <c r="F29" s="107" t="str">
        <f>BEGINBLAD!C29</f>
        <v>leerling 25</v>
      </c>
      <c r="G29" s="108">
        <f>'NIVEAU WAARDE - vorig jaar'!F33</f>
        <v>4.5</v>
      </c>
      <c r="H29" s="109">
        <f>'NIVEAU WAARDE - 1e toetsperiode'!F33</f>
        <v>4.4000000000000004</v>
      </c>
      <c r="I29" s="110" t="str">
        <f t="shared" si="0"/>
        <v>A-1</v>
      </c>
      <c r="J29" s="238" t="str">
        <f t="shared" si="1"/>
        <v/>
      </c>
      <c r="K29" s="137"/>
      <c r="L29" s="134"/>
      <c r="M29" s="110" t="str">
        <f t="shared" si="2"/>
        <v/>
      </c>
      <c r="N29" s="238" t="str">
        <f t="shared" si="3"/>
        <v/>
      </c>
      <c r="O29" s="958"/>
      <c r="P29" s="968"/>
      <c r="Q29" s="141"/>
      <c r="R29" s="130"/>
      <c r="S29" s="130"/>
      <c r="T29" s="130"/>
      <c r="U29" s="130"/>
      <c r="V29" s="130"/>
      <c r="W29" s="130"/>
    </row>
    <row r="30" spans="1:24" ht="19.5" customHeight="1" x14ac:dyDescent="0.25">
      <c r="A30" s="115"/>
      <c r="B30" s="369"/>
      <c r="C30" s="371"/>
      <c r="D30" s="105">
        <v>0</v>
      </c>
      <c r="E30" s="106">
        <v>26</v>
      </c>
      <c r="F30" s="107" t="str">
        <f>BEGINBLAD!C30</f>
        <v>leerling 26</v>
      </c>
      <c r="G30" s="108">
        <f>'NIVEAU WAARDE - vorig jaar'!F34</f>
        <v>0.9</v>
      </c>
      <c r="H30" s="109">
        <f>'NIVEAU WAARDE - 1e toetsperiode'!F34</f>
        <v>0.6</v>
      </c>
      <c r="I30" s="110" t="str">
        <f t="shared" si="0"/>
        <v>E-5</v>
      </c>
      <c r="J30" s="238" t="str">
        <f t="shared" si="1"/>
        <v/>
      </c>
      <c r="K30" s="137"/>
      <c r="L30" s="134"/>
      <c r="M30" s="110" t="str">
        <f t="shared" si="2"/>
        <v/>
      </c>
      <c r="N30" s="238" t="str">
        <f t="shared" si="3"/>
        <v/>
      </c>
      <c r="O30" s="958"/>
      <c r="P30" s="968"/>
      <c r="Q30" s="129"/>
      <c r="R30" s="133"/>
      <c r="S30" s="133"/>
      <c r="T30" s="133"/>
      <c r="U30" s="133"/>
      <c r="V30" s="133"/>
      <c r="W30" s="133"/>
    </row>
    <row r="31" spans="1:24" ht="19.5" customHeight="1" x14ac:dyDescent="0.25">
      <c r="A31" s="115"/>
      <c r="B31" s="369"/>
      <c r="C31" s="371"/>
      <c r="D31" s="105">
        <v>0</v>
      </c>
      <c r="E31" s="106">
        <v>27</v>
      </c>
      <c r="F31" s="107">
        <f>BEGINBLAD!C31</f>
        <v>0</v>
      </c>
      <c r="G31" s="108">
        <f>'NIVEAU WAARDE - vorig jaar'!F35</f>
        <v>0</v>
      </c>
      <c r="H31" s="109">
        <f>'NIVEAU WAARDE - 1e toetsperiode'!F35</f>
        <v>0</v>
      </c>
      <c r="I31" s="110" t="str">
        <f t="shared" si="0"/>
        <v/>
      </c>
      <c r="J31" s="238" t="str">
        <f t="shared" si="1"/>
        <v/>
      </c>
      <c r="K31" s="137"/>
      <c r="L31" s="134"/>
      <c r="M31" s="110" t="str">
        <f t="shared" si="2"/>
        <v/>
      </c>
      <c r="N31" s="238" t="str">
        <f t="shared" si="3"/>
        <v/>
      </c>
      <c r="O31" s="958"/>
      <c r="P31" s="968"/>
      <c r="Q31" s="129"/>
      <c r="R31" s="133"/>
      <c r="S31" s="133"/>
      <c r="T31" s="133"/>
      <c r="U31" s="133"/>
      <c r="V31" s="133"/>
      <c r="W31" s="133"/>
    </row>
    <row r="32" spans="1:24" ht="19.5" customHeight="1" x14ac:dyDescent="0.25">
      <c r="A32" s="115"/>
      <c r="B32" s="369"/>
      <c r="C32" s="371"/>
      <c r="D32" s="105">
        <v>0</v>
      </c>
      <c r="E32" s="106">
        <v>28</v>
      </c>
      <c r="F32" s="107">
        <f>BEGINBLAD!C32</f>
        <v>0</v>
      </c>
      <c r="G32" s="108">
        <f>'NIVEAU WAARDE - vorig jaar'!F36</f>
        <v>0</v>
      </c>
      <c r="H32" s="109">
        <f>'NIVEAU WAARDE - 1e toetsperiode'!F36</f>
        <v>0</v>
      </c>
      <c r="I32" s="110" t="str">
        <f t="shared" si="0"/>
        <v/>
      </c>
      <c r="J32" s="238" t="str">
        <f t="shared" si="1"/>
        <v/>
      </c>
      <c r="K32" s="137"/>
      <c r="L32" s="134"/>
      <c r="M32" s="110" t="str">
        <f t="shared" si="2"/>
        <v/>
      </c>
      <c r="N32" s="238" t="str">
        <f t="shared" si="3"/>
        <v/>
      </c>
      <c r="O32" s="958"/>
      <c r="P32" s="968"/>
      <c r="Q32" s="129"/>
      <c r="R32" s="133"/>
      <c r="S32" s="133"/>
      <c r="T32" s="133"/>
      <c r="U32" s="133"/>
      <c r="V32" s="133"/>
      <c r="W32" s="133"/>
    </row>
    <row r="33" spans="1:27" ht="19.5" customHeight="1" x14ac:dyDescent="0.25">
      <c r="A33" s="115"/>
      <c r="B33" s="369"/>
      <c r="C33" s="371"/>
      <c r="D33" s="105">
        <v>0</v>
      </c>
      <c r="E33" s="106">
        <v>29</v>
      </c>
      <c r="F33" s="107">
        <f>BEGINBLAD!C33</f>
        <v>0</v>
      </c>
      <c r="G33" s="108">
        <f>'NIVEAU WAARDE - vorig jaar'!F37</f>
        <v>0</v>
      </c>
      <c r="H33" s="109">
        <f>'NIVEAU WAARDE - 1e toetsperiode'!F37</f>
        <v>0</v>
      </c>
      <c r="I33" s="110" t="str">
        <f t="shared" si="0"/>
        <v/>
      </c>
      <c r="J33" s="238" t="str">
        <f t="shared" si="1"/>
        <v/>
      </c>
      <c r="K33" s="137"/>
      <c r="L33" s="134"/>
      <c r="M33" s="110" t="str">
        <f t="shared" si="2"/>
        <v/>
      </c>
      <c r="N33" s="238" t="str">
        <f t="shared" si="3"/>
        <v/>
      </c>
      <c r="O33" s="958"/>
      <c r="P33" s="968"/>
      <c r="Q33" s="129"/>
      <c r="R33" s="133"/>
      <c r="S33" s="133"/>
      <c r="T33" s="133"/>
      <c r="U33" s="133"/>
      <c r="V33" s="133"/>
      <c r="W33" s="133"/>
    </row>
    <row r="34" spans="1:27" ht="19.5" customHeight="1" x14ac:dyDescent="0.25">
      <c r="A34" s="115"/>
      <c r="B34" s="369"/>
      <c r="C34" s="371"/>
      <c r="D34" s="105">
        <v>0</v>
      </c>
      <c r="E34" s="106">
        <v>30</v>
      </c>
      <c r="F34" s="107">
        <f>BEGINBLAD!C34</f>
        <v>0</v>
      </c>
      <c r="G34" s="108">
        <f>'NIVEAU WAARDE - vorig jaar'!F38</f>
        <v>0</v>
      </c>
      <c r="H34" s="109">
        <f>'NIVEAU WAARDE - 1e toetsperiode'!F38</f>
        <v>0</v>
      </c>
      <c r="I34" s="110" t="str">
        <f t="shared" si="0"/>
        <v/>
      </c>
      <c r="J34" s="238" t="str">
        <f t="shared" si="1"/>
        <v/>
      </c>
      <c r="K34" s="137"/>
      <c r="L34" s="134"/>
      <c r="M34" s="110" t="str">
        <f t="shared" si="2"/>
        <v/>
      </c>
      <c r="N34" s="238" t="str">
        <f t="shared" si="3"/>
        <v/>
      </c>
      <c r="O34" s="958"/>
      <c r="P34" s="968"/>
      <c r="Q34" s="129"/>
      <c r="R34" s="133"/>
      <c r="S34" s="133"/>
      <c r="T34" s="133"/>
      <c r="U34" s="133"/>
      <c r="V34" s="133"/>
      <c r="W34" s="133"/>
    </row>
    <row r="35" spans="1:27" ht="19.5" customHeight="1" thickBot="1" x14ac:dyDescent="0.3">
      <c r="A35" s="115"/>
      <c r="B35" s="369"/>
      <c r="C35" s="371"/>
      <c r="D35" s="105">
        <v>0</v>
      </c>
      <c r="E35" s="106">
        <v>31</v>
      </c>
      <c r="F35" s="107">
        <f>BEGINBLAD!C35</f>
        <v>0</v>
      </c>
      <c r="G35" s="108">
        <f>'NIVEAU WAARDE - vorig jaar'!F39</f>
        <v>0</v>
      </c>
      <c r="H35" s="109">
        <f>'NIVEAU WAARDE - 1e toetsperiode'!F39</f>
        <v>0</v>
      </c>
      <c r="I35" s="110" t="str">
        <f t="shared" si="0"/>
        <v/>
      </c>
      <c r="J35" s="238" t="str">
        <f t="shared" si="1"/>
        <v/>
      </c>
      <c r="K35" s="137"/>
      <c r="L35" s="134"/>
      <c r="M35" s="110" t="str">
        <f t="shared" si="2"/>
        <v/>
      </c>
      <c r="N35" s="238" t="str">
        <f t="shared" si="3"/>
        <v/>
      </c>
      <c r="O35" s="959"/>
      <c r="P35" s="969"/>
      <c r="Q35" s="129"/>
      <c r="R35" s="133"/>
      <c r="S35" s="133"/>
      <c r="T35" s="133"/>
      <c r="U35" s="133"/>
      <c r="V35" s="133"/>
      <c r="W35" s="133"/>
    </row>
    <row r="36" spans="1:27" ht="19.5" customHeight="1" thickBot="1" x14ac:dyDescent="0.3">
      <c r="A36" s="115"/>
      <c r="B36" s="369"/>
      <c r="C36" s="371"/>
      <c r="D36" s="105">
        <v>0</v>
      </c>
      <c r="E36" s="106">
        <v>32</v>
      </c>
      <c r="F36" s="107">
        <f>BEGINBLAD!C36</f>
        <v>0</v>
      </c>
      <c r="G36" s="108">
        <f>'NIVEAU WAARDE - vorig jaar'!F40</f>
        <v>0</v>
      </c>
      <c r="H36" s="109">
        <f>'NIVEAU WAARDE - 1e toetsperiode'!F40</f>
        <v>0</v>
      </c>
      <c r="I36" s="110" t="str">
        <f t="shared" si="0"/>
        <v/>
      </c>
      <c r="J36" s="238" t="str">
        <f t="shared" si="1"/>
        <v/>
      </c>
      <c r="K36" s="137"/>
      <c r="L36" s="134"/>
      <c r="M36" s="110" t="str">
        <f t="shared" si="2"/>
        <v/>
      </c>
      <c r="N36" s="238" t="str">
        <f t="shared" si="3"/>
        <v/>
      </c>
      <c r="O36" s="120"/>
      <c r="P36" s="126" t="s">
        <v>12</v>
      </c>
      <c r="Q36" s="129"/>
      <c r="R36" s="133"/>
      <c r="S36" s="133"/>
      <c r="T36" s="133"/>
      <c r="U36" s="133"/>
      <c r="V36" s="133"/>
      <c r="W36" s="133"/>
    </row>
    <row r="37" spans="1:27" ht="19.5" customHeight="1" x14ac:dyDescent="0.25">
      <c r="A37" s="115"/>
      <c r="B37" s="369"/>
      <c r="C37" s="371"/>
      <c r="D37" s="105">
        <v>0</v>
      </c>
      <c r="E37" s="106">
        <v>33</v>
      </c>
      <c r="F37" s="107">
        <f>BEGINBLAD!C37</f>
        <v>0</v>
      </c>
      <c r="G37" s="108">
        <f>'NIVEAU WAARDE - vorig jaar'!F41</f>
        <v>0</v>
      </c>
      <c r="H37" s="109">
        <f>'NIVEAU WAARDE - 1e toetsperiode'!F41</f>
        <v>0</v>
      </c>
      <c r="I37" s="110" t="str">
        <f t="shared" si="0"/>
        <v/>
      </c>
      <c r="J37" s="238" t="str">
        <f t="shared" si="1"/>
        <v/>
      </c>
      <c r="K37" s="137"/>
      <c r="L37" s="134"/>
      <c r="M37" s="110" t="str">
        <f t="shared" si="2"/>
        <v/>
      </c>
      <c r="N37" s="238" t="str">
        <f t="shared" si="3"/>
        <v/>
      </c>
      <c r="O37" s="957" t="s">
        <v>70</v>
      </c>
      <c r="P37" s="962" t="str">
        <f>'VERRIJKT - 1e periode'!F6</f>
        <v>Uitdaging bieden.</v>
      </c>
      <c r="Q37" s="129"/>
      <c r="R37" s="133"/>
      <c r="S37" s="133"/>
      <c r="T37" s="133"/>
      <c r="U37" s="133"/>
      <c r="V37" s="133"/>
      <c r="W37" s="133"/>
    </row>
    <row r="38" spans="1:27" ht="19.5" customHeight="1" x14ac:dyDescent="0.25">
      <c r="A38" s="115"/>
      <c r="B38" s="116"/>
      <c r="C38" s="117"/>
      <c r="D38" s="105">
        <v>0</v>
      </c>
      <c r="E38" s="106">
        <v>34</v>
      </c>
      <c r="F38" s="107">
        <f>BEGINBLAD!C38</f>
        <v>0</v>
      </c>
      <c r="G38" s="108">
        <f>'NIVEAU WAARDE - vorig jaar'!F42</f>
        <v>0</v>
      </c>
      <c r="H38" s="109">
        <f>'NIVEAU WAARDE - 1e toetsperiode'!F42</f>
        <v>0</v>
      </c>
      <c r="I38" s="110" t="str">
        <f t="shared" si="0"/>
        <v/>
      </c>
      <c r="J38" s="238" t="str">
        <f t="shared" si="1"/>
        <v/>
      </c>
      <c r="K38" s="137"/>
      <c r="L38" s="134"/>
      <c r="M38" s="110" t="str">
        <f t="shared" si="2"/>
        <v/>
      </c>
      <c r="N38" s="238" t="str">
        <f t="shared" si="3"/>
        <v/>
      </c>
      <c r="O38" s="958"/>
      <c r="P38" s="963"/>
      <c r="Q38" s="129"/>
      <c r="R38" s="133"/>
      <c r="S38" s="133"/>
      <c r="T38" s="133"/>
      <c r="U38" s="133"/>
      <c r="V38" s="133"/>
      <c r="W38" s="133"/>
    </row>
    <row r="39" spans="1:27" ht="19.5" customHeight="1" x14ac:dyDescent="0.25">
      <c r="A39" s="115"/>
      <c r="B39" s="116"/>
      <c r="C39" s="117"/>
      <c r="D39" s="105">
        <v>0</v>
      </c>
      <c r="E39" s="106">
        <v>35</v>
      </c>
      <c r="F39" s="107">
        <f>BEGINBLAD!C39</f>
        <v>0</v>
      </c>
      <c r="G39" s="108">
        <f>'NIVEAU WAARDE - vorig jaar'!F43</f>
        <v>0</v>
      </c>
      <c r="H39" s="109">
        <f>'NIVEAU WAARDE - 1e toetsperiode'!F43</f>
        <v>0</v>
      </c>
      <c r="I39" s="110" t="str">
        <f t="shared" si="0"/>
        <v/>
      </c>
      <c r="J39" s="238" t="str">
        <f t="shared" si="1"/>
        <v/>
      </c>
      <c r="K39" s="137"/>
      <c r="L39" s="134"/>
      <c r="M39" s="110" t="str">
        <f t="shared" si="2"/>
        <v/>
      </c>
      <c r="N39" s="238" t="str">
        <f t="shared" si="3"/>
        <v/>
      </c>
      <c r="O39" s="958" t="s">
        <v>71</v>
      </c>
      <c r="P39" s="955" t="str">
        <f>'VERRIJKT - 1e periode'!F8</f>
        <v>Levelwerk, pluswerkboek taal, C-niveau Nieuwsbegrip voor: D, M, B, G, J</v>
      </c>
      <c r="Q39" s="129"/>
      <c r="R39" s="133"/>
      <c r="S39" s="133"/>
      <c r="T39" s="133"/>
      <c r="U39" s="133"/>
      <c r="V39" s="133"/>
      <c r="W39" s="133"/>
    </row>
    <row r="40" spans="1:27" s="103" customFormat="1" ht="19.5" customHeight="1" thickBot="1" x14ac:dyDescent="0.3">
      <c r="A40" s="115"/>
      <c r="B40" s="116"/>
      <c r="C40" s="117"/>
      <c r="D40" s="105">
        <v>0</v>
      </c>
      <c r="E40" s="142">
        <v>36</v>
      </c>
      <c r="F40" s="143">
        <f>BEGINBLAD!C40</f>
        <v>0</v>
      </c>
      <c r="G40" s="144">
        <f>'NIVEAU WAARDE - vorig jaar'!F44</f>
        <v>0</v>
      </c>
      <c r="H40" s="145">
        <f>'NIVEAU WAARDE - 1e toetsperiode'!F44</f>
        <v>0</v>
      </c>
      <c r="I40" s="146" t="str">
        <f t="shared" si="0"/>
        <v/>
      </c>
      <c r="J40" s="238" t="str">
        <f t="shared" si="1"/>
        <v/>
      </c>
      <c r="K40" s="247"/>
      <c r="L40" s="147"/>
      <c r="M40" s="146" t="str">
        <f t="shared" si="2"/>
        <v/>
      </c>
      <c r="N40" s="238" t="str">
        <f t="shared" si="3"/>
        <v/>
      </c>
      <c r="O40" s="958"/>
      <c r="P40" s="955"/>
      <c r="Q40" s="129"/>
      <c r="R40" s="133"/>
      <c r="S40" s="133"/>
      <c r="T40" s="133"/>
      <c r="U40" s="133"/>
      <c r="V40" s="133"/>
      <c r="W40" s="133"/>
      <c r="X40" s="127"/>
      <c r="Y40" s="127"/>
      <c r="Z40" s="127"/>
      <c r="AA40" s="127"/>
    </row>
    <row r="41" spans="1:27" ht="19.5" customHeight="1" thickBot="1" x14ac:dyDescent="0.35">
      <c r="A41" s="148"/>
      <c r="B41" s="149"/>
      <c r="C41" s="970" t="s">
        <v>13</v>
      </c>
      <c r="D41" s="970"/>
      <c r="E41" s="970"/>
      <c r="F41" s="970"/>
      <c r="G41" s="971" t="s">
        <v>12</v>
      </c>
      <c r="H41" s="971"/>
      <c r="I41" s="971"/>
      <c r="J41" s="971"/>
      <c r="K41" s="971"/>
      <c r="L41" s="971"/>
      <c r="M41" s="971"/>
      <c r="O41" s="958"/>
      <c r="P41" s="955"/>
      <c r="Q41" s="129"/>
      <c r="R41" s="150"/>
      <c r="S41" s="150"/>
      <c r="T41" s="150"/>
      <c r="U41" s="150"/>
      <c r="V41" s="150"/>
      <c r="W41" s="150"/>
    </row>
    <row r="42" spans="1:27" ht="19.5" customHeight="1" x14ac:dyDescent="0.25">
      <c r="A42" s="129"/>
      <c r="B42" s="169"/>
      <c r="C42" s="176" t="s">
        <v>73</v>
      </c>
      <c r="D42" s="972"/>
      <c r="E42" s="973"/>
      <c r="F42" s="1004"/>
      <c r="G42" s="975" t="s">
        <v>73</v>
      </c>
      <c r="H42" s="976"/>
      <c r="I42" s="1005"/>
      <c r="J42" s="1006"/>
      <c r="K42" s="1006"/>
      <c r="L42" s="1006"/>
      <c r="M42" s="1007"/>
      <c r="O42" s="958"/>
      <c r="P42" s="955"/>
      <c r="Q42" s="129"/>
      <c r="R42" s="150"/>
      <c r="S42" s="150"/>
      <c r="T42" s="150"/>
      <c r="U42" s="150"/>
      <c r="V42" s="150"/>
      <c r="W42" s="150"/>
    </row>
    <row r="43" spans="1:27" ht="19.5" customHeight="1" x14ac:dyDescent="0.25">
      <c r="A43" s="129"/>
      <c r="B43" s="170"/>
      <c r="C43" s="177" t="s">
        <v>74</v>
      </c>
      <c r="D43" s="1008"/>
      <c r="E43" s="978"/>
      <c r="F43" s="1009"/>
      <c r="G43" s="980" t="s">
        <v>74</v>
      </c>
      <c r="H43" s="981"/>
      <c r="I43" s="1010"/>
      <c r="J43" s="1011"/>
      <c r="K43" s="1011"/>
      <c r="L43" s="1011"/>
      <c r="M43" s="1012"/>
      <c r="O43" s="958"/>
      <c r="P43" s="955"/>
      <c r="Q43" s="129"/>
      <c r="R43" s="150"/>
      <c r="S43" s="150"/>
      <c r="T43" s="150"/>
      <c r="U43" s="150"/>
      <c r="V43" s="150"/>
      <c r="W43" s="150"/>
    </row>
    <row r="44" spans="1:27" ht="19.5" customHeight="1" x14ac:dyDescent="0.25">
      <c r="A44" s="129"/>
      <c r="B44" s="170"/>
      <c r="C44" s="177" t="s">
        <v>75</v>
      </c>
      <c r="D44" s="1008"/>
      <c r="E44" s="978"/>
      <c r="F44" s="1009"/>
      <c r="G44" s="980" t="s">
        <v>75</v>
      </c>
      <c r="H44" s="981"/>
      <c r="I44" s="1010"/>
      <c r="J44" s="1011"/>
      <c r="K44" s="1011"/>
      <c r="L44" s="1011"/>
      <c r="M44" s="1012"/>
      <c r="O44" s="958"/>
      <c r="P44" s="955"/>
      <c r="Q44" s="129"/>
      <c r="R44" s="150"/>
      <c r="S44" s="150"/>
      <c r="T44" s="150"/>
      <c r="U44" s="150"/>
      <c r="V44" s="150"/>
      <c r="W44" s="150"/>
    </row>
    <row r="45" spans="1:27" ht="19.5" customHeight="1" x14ac:dyDescent="0.25">
      <c r="A45" s="129"/>
      <c r="B45" s="170"/>
      <c r="C45" s="177" t="s">
        <v>76</v>
      </c>
      <c r="D45" s="977"/>
      <c r="E45" s="978"/>
      <c r="F45" s="1009"/>
      <c r="G45" s="980" t="s">
        <v>76</v>
      </c>
      <c r="H45" s="981"/>
      <c r="I45" s="1010"/>
      <c r="J45" s="1011"/>
      <c r="K45" s="1011"/>
      <c r="L45" s="1011"/>
      <c r="M45" s="1012"/>
      <c r="O45" s="958"/>
      <c r="P45" s="955"/>
      <c r="Q45" s="129"/>
      <c r="R45" s="150"/>
      <c r="S45" s="150"/>
      <c r="T45" s="150"/>
      <c r="U45" s="150"/>
      <c r="V45" s="150"/>
      <c r="W45" s="150"/>
    </row>
    <row r="46" spans="1:27" ht="19.5" customHeight="1" thickBot="1" x14ac:dyDescent="0.3">
      <c r="A46" s="129"/>
      <c r="B46" s="170"/>
      <c r="C46" s="178" t="s">
        <v>77</v>
      </c>
      <c r="D46" s="989"/>
      <c r="E46" s="990"/>
      <c r="F46" s="1013"/>
      <c r="G46" s="992" t="s">
        <v>77</v>
      </c>
      <c r="H46" s="993"/>
      <c r="I46" s="1014"/>
      <c r="J46" s="1015"/>
      <c r="K46" s="1015"/>
      <c r="L46" s="1015"/>
      <c r="M46" s="1016"/>
      <c r="O46" s="959"/>
      <c r="P46" s="956"/>
      <c r="Q46" s="129"/>
      <c r="R46" s="133"/>
      <c r="S46" s="133"/>
      <c r="T46" s="133"/>
      <c r="U46" s="133"/>
      <c r="V46" s="133"/>
      <c r="W46" s="133"/>
    </row>
    <row r="47" spans="1:27" x14ac:dyDescent="0.25">
      <c r="B47" s="151"/>
      <c r="C47" s="156"/>
      <c r="D47" s="466"/>
      <c r="E47" s="467"/>
      <c r="F47" s="467"/>
      <c r="G47" s="467"/>
      <c r="H47" s="200"/>
      <c r="I47" s="153"/>
      <c r="J47" s="153"/>
      <c r="K47" s="1001" t="s">
        <v>7</v>
      </c>
      <c r="L47" s="1001"/>
      <c r="M47" s="1001"/>
      <c r="N47" s="152"/>
      <c r="O47" s="161"/>
      <c r="P47" s="161"/>
      <c r="Q47" s="129"/>
      <c r="R47" s="133"/>
      <c r="S47" s="133"/>
      <c r="T47" s="133"/>
      <c r="U47" s="133"/>
      <c r="V47" s="133"/>
      <c r="W47" s="133"/>
    </row>
    <row r="48" spans="1:27" x14ac:dyDescent="0.25">
      <c r="B48" s="171"/>
      <c r="C48" s="164"/>
      <c r="D48" s="212">
        <f>BEGINBLAD!$D$41</f>
        <v>26</v>
      </c>
      <c r="E48" s="202"/>
      <c r="F48" s="203" t="s">
        <v>78</v>
      </c>
      <c r="G48" s="211">
        <f>H48/$D$49</f>
        <v>0.23076923076923078</v>
      </c>
      <c r="H48" s="124">
        <f>COUNTIF($I$5:$I$40,"A-1+")</f>
        <v>6</v>
      </c>
      <c r="I48" s="124"/>
      <c r="J48" s="201" t="s">
        <v>79</v>
      </c>
      <c r="K48" s="201"/>
      <c r="L48" s="201"/>
      <c r="M48" s="227">
        <f>G48+G49+G50+G51+G52</f>
        <v>0.65384615384615385</v>
      </c>
      <c r="N48" s="227">
        <v>1</v>
      </c>
      <c r="O48" s="228"/>
      <c r="P48" s="152"/>
      <c r="Q48" s="129"/>
      <c r="R48" s="133"/>
      <c r="S48" s="133"/>
      <c r="T48" s="133"/>
      <c r="U48" s="133"/>
      <c r="V48" s="133"/>
      <c r="W48" s="133"/>
    </row>
    <row r="49" spans="2:23" x14ac:dyDescent="0.25">
      <c r="B49" s="171"/>
      <c r="C49" s="164"/>
      <c r="D49" s="208">
        <f>COUNTIF(H5:H40,"&gt;0")</f>
        <v>26</v>
      </c>
      <c r="E49" s="202"/>
      <c r="F49" s="203" t="s">
        <v>80</v>
      </c>
      <c r="G49" s="211">
        <f>H49/$D$49</f>
        <v>3.8461538461538464E-2</v>
      </c>
      <c r="H49" s="124">
        <f>COUNTIF($I$5:$I$40,"A-1")</f>
        <v>1</v>
      </c>
      <c r="I49" s="124"/>
      <c r="J49" s="201"/>
      <c r="K49" s="201"/>
      <c r="L49" s="201"/>
      <c r="M49" s="227"/>
      <c r="N49" s="227">
        <v>0.7</v>
      </c>
      <c r="O49" s="229"/>
      <c r="P49" s="163"/>
      <c r="Q49" s="129"/>
      <c r="R49" s="133"/>
      <c r="S49" s="133"/>
      <c r="T49" s="133"/>
      <c r="U49" s="133"/>
      <c r="V49" s="133"/>
      <c r="W49" s="133"/>
    </row>
    <row r="50" spans="2:23" x14ac:dyDescent="0.25">
      <c r="B50" s="171"/>
      <c r="C50" s="164"/>
      <c r="D50" s="204"/>
      <c r="E50" s="202"/>
      <c r="F50" s="205" t="s">
        <v>81</v>
      </c>
      <c r="G50" s="211">
        <f>(H50+I50)/$D$49</f>
        <v>0.23076923076923078</v>
      </c>
      <c r="H50" s="124">
        <f>COUNTIF($I$5:$I$40,"A-2")</f>
        <v>3</v>
      </c>
      <c r="I50" s="124">
        <f>COUNTIF($I$5:$I$40,"B-2")</f>
        <v>3</v>
      </c>
      <c r="J50" s="201"/>
      <c r="K50" s="201"/>
      <c r="L50" s="201"/>
      <c r="M50" s="227"/>
      <c r="N50" s="227">
        <v>0.6</v>
      </c>
      <c r="O50" s="229"/>
      <c r="P50" s="163"/>
      <c r="Q50" s="129"/>
      <c r="R50" s="133"/>
      <c r="S50" s="133"/>
      <c r="T50" s="133"/>
      <c r="U50" s="133"/>
      <c r="V50" s="133"/>
      <c r="W50" s="133"/>
    </row>
    <row r="51" spans="2:23" x14ac:dyDescent="0.25">
      <c r="B51" s="171"/>
      <c r="C51" s="164"/>
      <c r="D51" s="204"/>
      <c r="E51" s="202"/>
      <c r="F51" s="203" t="s">
        <v>82</v>
      </c>
      <c r="G51" s="211">
        <f>H51/$D$49</f>
        <v>0.11538461538461539</v>
      </c>
      <c r="H51" s="124">
        <f>COUNTIF($I$5:$I$40,"B-3")</f>
        <v>3</v>
      </c>
      <c r="I51" s="124"/>
      <c r="J51" s="201"/>
      <c r="K51" s="201"/>
      <c r="L51" s="201"/>
      <c r="M51" s="227"/>
      <c r="N51" s="227">
        <f>$M$48</f>
        <v>0.65384615384615385</v>
      </c>
      <c r="O51" s="229"/>
      <c r="P51" s="163"/>
      <c r="Q51" s="129"/>
      <c r="R51" s="133"/>
      <c r="S51" s="133"/>
      <c r="T51" s="133"/>
      <c r="U51" s="133"/>
      <c r="V51" s="133"/>
      <c r="W51" s="133"/>
    </row>
    <row r="52" spans="2:23" x14ac:dyDescent="0.25">
      <c r="B52" s="171"/>
      <c r="C52" s="164"/>
      <c r="D52" s="204"/>
      <c r="E52" s="202"/>
      <c r="F52" s="203" t="s">
        <v>83</v>
      </c>
      <c r="G52" s="211">
        <f>H52/$D$49</f>
        <v>3.8461538461538464E-2</v>
      </c>
      <c r="H52" s="124">
        <f>COUNTIF($I$5:$I$40,"c-3")</f>
        <v>1</v>
      </c>
      <c r="I52" s="124"/>
      <c r="J52" s="201" t="s">
        <v>84</v>
      </c>
      <c r="K52" s="201"/>
      <c r="L52" s="201"/>
      <c r="M52" s="227">
        <f>G53+G54+G55+G57</f>
        <v>0.34615384615384615</v>
      </c>
      <c r="N52" s="230"/>
      <c r="O52" s="229"/>
      <c r="P52" s="163"/>
      <c r="Q52" s="129"/>
      <c r="R52" s="133"/>
      <c r="S52" s="133"/>
      <c r="T52" s="133"/>
      <c r="U52" s="133"/>
      <c r="V52" s="133"/>
      <c r="W52" s="133"/>
    </row>
    <row r="53" spans="2:23" x14ac:dyDescent="0.25">
      <c r="B53" s="171"/>
      <c r="C53" s="164"/>
      <c r="D53" s="204"/>
      <c r="E53" s="202"/>
      <c r="F53" s="205" t="s">
        <v>85</v>
      </c>
      <c r="G53" s="211">
        <f>H53/$D$49</f>
        <v>0.19230769230769232</v>
      </c>
      <c r="H53" s="124">
        <f>COUNTIF($I$5:$I$40,"c-4")</f>
        <v>5</v>
      </c>
      <c r="I53" s="212"/>
      <c r="J53" s="201"/>
      <c r="K53" s="201"/>
      <c r="L53" s="201"/>
      <c r="M53" s="227"/>
      <c r="N53" s="230"/>
      <c r="O53" s="229"/>
      <c r="P53" s="163"/>
      <c r="Q53" s="129"/>
      <c r="R53" s="133"/>
      <c r="S53" s="133"/>
      <c r="T53" s="133"/>
      <c r="U53" s="133"/>
      <c r="V53" s="133"/>
      <c r="W53" s="133"/>
    </row>
    <row r="54" spans="2:23" x14ac:dyDescent="0.25">
      <c r="B54" s="171"/>
      <c r="C54" s="164"/>
      <c r="D54" s="204"/>
      <c r="E54" s="202"/>
      <c r="F54" s="202" t="s">
        <v>86</v>
      </c>
      <c r="G54" s="211">
        <f>H54/$D$49</f>
        <v>3.8461538461538464E-2</v>
      </c>
      <c r="H54" s="124">
        <f>COUNTIF($I$5:$I$40,"d-4")</f>
        <v>1</v>
      </c>
      <c r="I54" s="212"/>
      <c r="J54" s="201"/>
      <c r="K54" s="201"/>
      <c r="L54" s="201"/>
      <c r="M54" s="227"/>
      <c r="N54" s="230"/>
      <c r="O54" s="229"/>
      <c r="P54" s="163"/>
      <c r="Q54" s="129"/>
      <c r="R54" s="133"/>
      <c r="S54" s="133"/>
      <c r="T54" s="133"/>
      <c r="U54" s="133"/>
      <c r="V54" s="133"/>
      <c r="W54" s="133"/>
    </row>
    <row r="55" spans="2:23" x14ac:dyDescent="0.25">
      <c r="B55" s="171"/>
      <c r="C55" s="164"/>
      <c r="D55" s="204"/>
      <c r="E55" s="202"/>
      <c r="F55" s="203" t="s">
        <v>87</v>
      </c>
      <c r="G55" s="211">
        <f>(H55+I55)/$D$49</f>
        <v>0.11538461538461539</v>
      </c>
      <c r="H55" s="124">
        <f>COUNTIF($I$5:$I$40,"d-5")</f>
        <v>2</v>
      </c>
      <c r="I55" s="124">
        <f>COUNTIF($I$5:$I$40,"e-5")</f>
        <v>1</v>
      </c>
      <c r="J55" s="201"/>
      <c r="K55" s="201"/>
      <c r="L55" s="201"/>
      <c r="M55" s="227"/>
      <c r="N55" s="230"/>
      <c r="O55" s="229"/>
      <c r="P55" s="163"/>
      <c r="Q55" s="129"/>
      <c r="R55" s="133"/>
      <c r="S55" s="133"/>
      <c r="T55" s="133"/>
      <c r="U55" s="133"/>
      <c r="V55" s="133"/>
      <c r="W55" s="133"/>
    </row>
    <row r="56" spans="2:23" x14ac:dyDescent="0.25">
      <c r="B56" s="171"/>
      <c r="C56" s="164"/>
      <c r="D56" s="204"/>
      <c r="E56" s="202"/>
      <c r="F56" s="203"/>
      <c r="G56" s="211"/>
      <c r="H56" s="124"/>
      <c r="I56" s="124"/>
      <c r="J56" s="201" t="s">
        <v>0</v>
      </c>
      <c r="K56" s="201"/>
      <c r="L56" s="201"/>
      <c r="M56" s="227">
        <f>M48+M52</f>
        <v>1</v>
      </c>
      <c r="N56" s="845"/>
      <c r="O56" s="229"/>
      <c r="P56" s="163"/>
      <c r="Q56" s="129"/>
      <c r="R56" s="133"/>
      <c r="S56" s="133"/>
      <c r="T56" s="133"/>
      <c r="U56" s="133"/>
      <c r="V56" s="133"/>
      <c r="W56" s="133"/>
    </row>
    <row r="57" spans="2:23" x14ac:dyDescent="0.25">
      <c r="B57" s="171"/>
      <c r="C57" s="164"/>
      <c r="D57" s="204"/>
      <c r="E57" s="202"/>
      <c r="F57" s="206" t="s">
        <v>88</v>
      </c>
      <c r="G57" s="211">
        <f>H57/$D$49</f>
        <v>0</v>
      </c>
      <c r="H57" s="124">
        <f>COUNTIF($I$5:$I$40,"e-5-")</f>
        <v>0</v>
      </c>
      <c r="I57" s="124"/>
      <c r="J57" s="201"/>
      <c r="K57" s="201"/>
      <c r="L57" s="201"/>
      <c r="M57" s="227"/>
      <c r="N57" s="845"/>
      <c r="O57" s="229"/>
      <c r="P57" s="163"/>
      <c r="Q57" s="129"/>
      <c r="R57" s="133"/>
      <c r="S57" s="133"/>
      <c r="T57" s="133"/>
      <c r="U57" s="133"/>
      <c r="V57" s="133"/>
      <c r="W57" s="133"/>
    </row>
    <row r="58" spans="2:23" x14ac:dyDescent="0.25">
      <c r="B58" s="171"/>
      <c r="C58" s="156"/>
      <c r="D58" s="204"/>
      <c r="E58" s="202"/>
      <c r="F58" s="203" t="s">
        <v>0</v>
      </c>
      <c r="G58" s="207">
        <f>SUM(G48:G57)</f>
        <v>1</v>
      </c>
      <c r="H58" s="460">
        <f>SUM(H48:H57)</f>
        <v>22</v>
      </c>
      <c r="I58" s="233">
        <f>SUM(I48:I57)</f>
        <v>4</v>
      </c>
      <c r="J58" s="212"/>
      <c r="K58" s="212"/>
      <c r="L58" s="228"/>
      <c r="M58" s="228"/>
      <c r="N58" s="228"/>
      <c r="O58" s="228"/>
      <c r="P58" s="161"/>
      <c r="Q58" s="129"/>
      <c r="R58" s="133"/>
      <c r="S58" s="133"/>
      <c r="T58" s="133"/>
      <c r="U58" s="133"/>
      <c r="V58" s="133"/>
      <c r="W58" s="133"/>
    </row>
    <row r="59" spans="2:23" x14ac:dyDescent="0.25">
      <c r="B59" s="171"/>
      <c r="C59" s="156"/>
      <c r="D59" s="204"/>
      <c r="E59" s="202"/>
      <c r="F59" s="199"/>
      <c r="G59" s="199"/>
      <c r="H59" s="212">
        <f>SUM(H58+I58)</f>
        <v>26</v>
      </c>
      <c r="I59" s="212"/>
      <c r="J59" s="212"/>
      <c r="K59" s="212"/>
      <c r="L59" s="228"/>
      <c r="M59" s="228"/>
      <c r="N59" s="228"/>
      <c r="O59" s="228"/>
      <c r="P59" s="161"/>
      <c r="Q59" s="129"/>
      <c r="R59" s="133"/>
      <c r="S59" s="133"/>
      <c r="T59" s="133"/>
      <c r="U59" s="133"/>
      <c r="V59" s="133"/>
      <c r="W59" s="133"/>
    </row>
    <row r="60" spans="2:23" x14ac:dyDescent="0.25">
      <c r="B60" s="171"/>
      <c r="C60" s="156"/>
      <c r="D60" s="208"/>
      <c r="E60" s="199"/>
      <c r="F60" s="202"/>
      <c r="G60" s="211"/>
      <c r="H60" s="200"/>
      <c r="I60" s="200"/>
      <c r="J60" s="200"/>
      <c r="K60" s="200"/>
      <c r="L60" s="228"/>
      <c r="M60" s="228"/>
      <c r="N60" s="228"/>
      <c r="O60" s="228"/>
      <c r="P60" s="161"/>
      <c r="Q60" s="129"/>
      <c r="R60" s="133"/>
      <c r="S60" s="133"/>
      <c r="T60" s="133"/>
      <c r="U60" s="133"/>
      <c r="V60" s="133"/>
      <c r="W60" s="133"/>
    </row>
    <row r="61" spans="2:23" x14ac:dyDescent="0.25">
      <c r="B61" s="171"/>
      <c r="C61" s="156"/>
      <c r="D61" s="208"/>
      <c r="E61" s="199"/>
      <c r="F61" s="209"/>
      <c r="G61" s="211"/>
      <c r="H61" s="200"/>
      <c r="I61" s="200"/>
      <c r="J61" s="200"/>
      <c r="K61" s="200"/>
      <c r="L61" s="228"/>
      <c r="M61" s="228"/>
      <c r="N61" s="228"/>
      <c r="O61" s="228"/>
      <c r="P61" s="161"/>
      <c r="Q61" s="129"/>
      <c r="R61" s="133"/>
      <c r="S61" s="133"/>
      <c r="T61" s="133"/>
      <c r="U61" s="133"/>
      <c r="V61" s="133"/>
      <c r="W61" s="133"/>
    </row>
    <row r="62" spans="2:23" x14ac:dyDescent="0.25">
      <c r="B62" s="172"/>
      <c r="C62" s="179"/>
      <c r="D62" s="155"/>
      <c r="E62" s="156"/>
      <c r="F62" s="180"/>
      <c r="G62" s="181"/>
      <c r="H62" s="153"/>
      <c r="I62" s="153"/>
      <c r="J62" s="153"/>
      <c r="K62" s="153"/>
      <c r="L62" s="152"/>
      <c r="M62" s="152"/>
      <c r="N62" s="152"/>
      <c r="O62" s="152"/>
      <c r="P62" s="161"/>
      <c r="Q62" s="129"/>
      <c r="R62" s="133"/>
      <c r="S62" s="133"/>
      <c r="T62" s="133"/>
      <c r="U62" s="133"/>
      <c r="V62" s="133"/>
      <c r="W62" s="133"/>
    </row>
    <row r="63" spans="2:23" x14ac:dyDescent="0.25">
      <c r="B63" s="171"/>
      <c r="C63" s="156"/>
      <c r="D63" s="155"/>
      <c r="E63" s="156"/>
      <c r="F63" s="156"/>
      <c r="G63" s="156"/>
      <c r="H63" s="153"/>
      <c r="I63" s="153"/>
      <c r="J63" s="153"/>
      <c r="K63" s="153"/>
      <c r="L63" s="152"/>
      <c r="M63" s="152"/>
      <c r="N63" s="152"/>
      <c r="O63" s="152"/>
      <c r="P63" s="161"/>
      <c r="Q63" s="129"/>
      <c r="R63" s="133"/>
      <c r="S63" s="133"/>
      <c r="T63" s="133"/>
      <c r="U63" s="133"/>
      <c r="V63" s="133"/>
      <c r="W63" s="133"/>
    </row>
    <row r="64" spans="2:23" x14ac:dyDescent="0.25">
      <c r="B64" s="171"/>
      <c r="C64" s="154"/>
      <c r="D64" s="155"/>
      <c r="E64" s="156"/>
      <c r="F64" s="156"/>
      <c r="G64" s="156"/>
      <c r="H64" s="153"/>
      <c r="I64" s="153"/>
      <c r="J64" s="153"/>
      <c r="K64" s="153"/>
      <c r="L64" s="154"/>
      <c r="M64" s="152"/>
      <c r="N64" s="152"/>
      <c r="O64" s="152"/>
      <c r="P64" s="152"/>
      <c r="Q64" s="129"/>
      <c r="R64" s="133"/>
      <c r="S64" s="133"/>
      <c r="T64" s="133"/>
      <c r="U64" s="133"/>
      <c r="V64" s="133"/>
      <c r="W64" s="133"/>
    </row>
    <row r="65" spans="3:24" x14ac:dyDescent="0.25">
      <c r="C65" s="154"/>
      <c r="D65" s="155"/>
      <c r="E65" s="156"/>
      <c r="F65" s="156"/>
      <c r="G65" s="156"/>
      <c r="H65" s="153"/>
      <c r="I65" s="153"/>
      <c r="J65" s="153"/>
      <c r="K65" s="153"/>
      <c r="L65" s="154"/>
      <c r="M65" s="152"/>
      <c r="N65" s="152"/>
      <c r="O65" s="152"/>
      <c r="P65" s="152"/>
      <c r="Q65" s="129"/>
      <c r="R65" s="133"/>
      <c r="S65" s="133"/>
      <c r="T65" s="133"/>
      <c r="U65" s="133"/>
      <c r="V65" s="133"/>
      <c r="W65" s="133"/>
    </row>
    <row r="66" spans="3:24" x14ac:dyDescent="0.25">
      <c r="C66" s="154"/>
      <c r="D66" s="155"/>
      <c r="E66" s="156"/>
      <c r="F66" s="156"/>
      <c r="G66" s="156"/>
      <c r="H66" s="153"/>
      <c r="I66" s="153"/>
      <c r="J66" s="153"/>
      <c r="K66" s="153"/>
      <c r="L66" s="154"/>
      <c r="M66" s="152"/>
      <c r="N66" s="165"/>
      <c r="O66" s="152"/>
      <c r="P66" s="152"/>
      <c r="Q66" s="129"/>
      <c r="R66" s="133"/>
      <c r="S66" s="133"/>
      <c r="T66" s="133"/>
      <c r="U66" s="133"/>
      <c r="V66" s="133"/>
      <c r="W66" s="133"/>
      <c r="X66" s="157"/>
    </row>
    <row r="67" spans="3:24" ht="20" x14ac:dyDescent="0.3">
      <c r="C67" s="156"/>
      <c r="D67" s="164"/>
      <c r="E67" s="156"/>
      <c r="F67" s="156"/>
      <c r="G67" s="156"/>
      <c r="H67" s="153"/>
      <c r="I67" s="153"/>
      <c r="J67" s="166"/>
      <c r="K67" s="153"/>
      <c r="L67" s="156"/>
      <c r="M67" s="152"/>
      <c r="N67" s="152"/>
      <c r="O67" s="165"/>
      <c r="P67" s="165"/>
      <c r="Q67" s="129"/>
      <c r="R67" s="130"/>
      <c r="S67" s="130"/>
      <c r="T67" s="130"/>
      <c r="U67" s="131"/>
      <c r="V67" s="131"/>
      <c r="W67" s="131"/>
      <c r="X67" s="132"/>
    </row>
    <row r="68" spans="3:24" ht="20" x14ac:dyDescent="0.25">
      <c r="C68" s="156"/>
      <c r="D68" s="164"/>
      <c r="E68" s="156"/>
      <c r="F68" s="156"/>
      <c r="G68" s="156"/>
      <c r="H68" s="153"/>
      <c r="I68" s="153"/>
      <c r="J68" s="166"/>
      <c r="K68" s="153"/>
      <c r="L68" s="156"/>
      <c r="M68" s="152"/>
      <c r="N68" s="152"/>
      <c r="O68" s="152"/>
      <c r="P68" s="152"/>
      <c r="Q68" s="129"/>
      <c r="R68" s="133"/>
      <c r="S68" s="133"/>
      <c r="T68" s="133"/>
      <c r="U68" s="133"/>
      <c r="V68" s="133"/>
      <c r="W68" s="133"/>
    </row>
    <row r="69" spans="3:24" ht="20" x14ac:dyDescent="0.25">
      <c r="C69" s="154"/>
      <c r="D69" s="164"/>
      <c r="E69" s="154"/>
      <c r="F69" s="154"/>
      <c r="G69" s="154"/>
      <c r="H69" s="153"/>
      <c r="I69" s="153"/>
      <c r="J69" s="166"/>
      <c r="K69" s="153"/>
      <c r="L69" s="154"/>
      <c r="M69" s="152"/>
      <c r="N69" s="152"/>
      <c r="O69" s="152"/>
      <c r="P69" s="152"/>
      <c r="Q69" s="129"/>
      <c r="R69" s="133"/>
      <c r="S69" s="133"/>
      <c r="T69" s="133"/>
      <c r="U69" s="133"/>
      <c r="V69" s="133"/>
      <c r="W69" s="133"/>
    </row>
    <row r="70" spans="3:24" ht="20" x14ac:dyDescent="0.25">
      <c r="C70" s="154"/>
      <c r="D70" s="164"/>
      <c r="E70" s="154"/>
      <c r="F70" s="154"/>
      <c r="G70" s="154"/>
      <c r="H70" s="153"/>
      <c r="I70" s="153"/>
      <c r="J70" s="166"/>
      <c r="K70" s="153"/>
      <c r="L70" s="154"/>
      <c r="M70" s="152"/>
      <c r="N70" s="152"/>
      <c r="O70" s="152"/>
      <c r="P70" s="152"/>
      <c r="Q70" s="129"/>
      <c r="R70" s="133"/>
      <c r="S70" s="133"/>
      <c r="T70" s="133"/>
      <c r="U70" s="133"/>
      <c r="V70" s="133"/>
      <c r="W70" s="133"/>
    </row>
    <row r="71" spans="3:24" ht="20" x14ac:dyDescent="0.25">
      <c r="C71" s="154"/>
      <c r="D71" s="164"/>
      <c r="E71" s="154"/>
      <c r="F71" s="154"/>
      <c r="G71" s="154"/>
      <c r="H71" s="153"/>
      <c r="I71" s="153"/>
      <c r="J71" s="166"/>
      <c r="K71" s="153"/>
      <c r="L71" s="154"/>
      <c r="M71" s="152"/>
      <c r="N71" s="152"/>
      <c r="O71" s="152"/>
      <c r="P71" s="152"/>
      <c r="Q71" s="129"/>
      <c r="R71" s="133"/>
      <c r="S71" s="133"/>
      <c r="T71" s="133"/>
      <c r="U71" s="133"/>
      <c r="V71" s="133"/>
      <c r="W71" s="133"/>
    </row>
    <row r="72" spans="3:24" x14ac:dyDescent="0.25">
      <c r="C72" s="154"/>
      <c r="D72" s="155"/>
      <c r="E72" s="154"/>
      <c r="F72" s="154"/>
      <c r="G72" s="154"/>
      <c r="H72" s="153"/>
      <c r="I72" s="153"/>
      <c r="J72" s="153"/>
      <c r="K72" s="153"/>
      <c r="L72" s="154"/>
      <c r="M72" s="152"/>
      <c r="N72" s="152"/>
      <c r="O72" s="152"/>
      <c r="P72" s="152"/>
      <c r="Q72" s="129"/>
      <c r="R72" s="133"/>
      <c r="S72" s="133"/>
      <c r="T72" s="133"/>
      <c r="U72" s="133"/>
      <c r="V72" s="133"/>
      <c r="W72" s="133"/>
    </row>
    <row r="73" spans="3:24" x14ac:dyDescent="0.25">
      <c r="C73" s="154"/>
      <c r="D73" s="155"/>
      <c r="E73" s="154"/>
      <c r="F73" s="154"/>
      <c r="G73" s="154"/>
      <c r="H73" s="153"/>
      <c r="I73" s="153"/>
      <c r="J73" s="153"/>
      <c r="K73" s="153"/>
      <c r="L73" s="154"/>
      <c r="M73" s="152"/>
      <c r="N73" s="152"/>
      <c r="O73" s="152"/>
      <c r="P73" s="152"/>
      <c r="Q73" s="129"/>
      <c r="R73" s="133"/>
      <c r="S73" s="133"/>
      <c r="T73" s="133"/>
      <c r="U73" s="133"/>
      <c r="V73" s="133"/>
      <c r="W73" s="133"/>
    </row>
    <row r="74" spans="3:24" x14ac:dyDescent="0.25">
      <c r="C74" s="154"/>
      <c r="D74" s="155"/>
      <c r="E74" s="154"/>
      <c r="F74" s="154"/>
      <c r="G74" s="154"/>
      <c r="H74" s="153"/>
      <c r="I74" s="153"/>
      <c r="J74" s="153"/>
      <c r="K74" s="153"/>
      <c r="L74" s="154"/>
      <c r="M74" s="152"/>
      <c r="N74" s="152"/>
      <c r="O74" s="152"/>
      <c r="P74" s="152"/>
      <c r="Q74" s="129"/>
      <c r="R74" s="133"/>
      <c r="S74" s="133"/>
      <c r="T74" s="133"/>
      <c r="U74" s="133"/>
      <c r="V74" s="133"/>
      <c r="W74" s="133"/>
    </row>
    <row r="75" spans="3:24" x14ac:dyDescent="0.25">
      <c r="C75" s="154"/>
      <c r="D75" s="155"/>
      <c r="E75" s="154"/>
      <c r="F75" s="154"/>
      <c r="G75" s="154"/>
      <c r="H75" s="153"/>
      <c r="I75" s="153"/>
      <c r="J75" s="153"/>
      <c r="K75" s="153"/>
      <c r="L75" s="154"/>
      <c r="M75" s="152"/>
      <c r="N75" s="152"/>
      <c r="O75" s="152"/>
      <c r="P75" s="152"/>
      <c r="Q75" s="129"/>
      <c r="R75" s="133"/>
      <c r="S75" s="133"/>
      <c r="T75" s="133"/>
      <c r="U75" s="133"/>
      <c r="V75" s="133"/>
      <c r="W75" s="133"/>
    </row>
    <row r="76" spans="3:24" x14ac:dyDescent="0.25">
      <c r="C76" s="154"/>
      <c r="D76" s="155"/>
      <c r="E76" s="154"/>
      <c r="F76" s="154"/>
      <c r="G76" s="154"/>
      <c r="H76" s="153"/>
      <c r="I76" s="153"/>
      <c r="J76" s="153"/>
      <c r="K76" s="153"/>
      <c r="L76" s="154"/>
      <c r="M76" s="152"/>
      <c r="N76" s="152"/>
      <c r="O76" s="152"/>
      <c r="P76" s="152"/>
      <c r="Q76" s="129"/>
      <c r="R76" s="133"/>
      <c r="S76" s="133"/>
      <c r="T76" s="133"/>
      <c r="U76" s="133"/>
      <c r="V76" s="133"/>
      <c r="W76" s="133"/>
    </row>
    <row r="77" spans="3:24" x14ac:dyDescent="0.25">
      <c r="C77" s="154"/>
      <c r="D77" s="155"/>
      <c r="E77" s="154"/>
      <c r="F77" s="154"/>
      <c r="G77" s="154"/>
      <c r="H77" s="153"/>
      <c r="I77" s="153"/>
      <c r="J77" s="153"/>
      <c r="K77" s="153"/>
      <c r="L77" s="154"/>
      <c r="M77" s="152"/>
      <c r="N77" s="152"/>
      <c r="O77" s="152"/>
      <c r="P77" s="152"/>
      <c r="Q77" s="129"/>
      <c r="R77" s="133"/>
      <c r="S77" s="133"/>
      <c r="T77" s="133"/>
      <c r="U77" s="133"/>
      <c r="V77" s="133"/>
      <c r="W77" s="133"/>
    </row>
    <row r="78" spans="3:24" x14ac:dyDescent="0.25">
      <c r="C78" s="154"/>
      <c r="D78" s="155"/>
      <c r="E78" s="154"/>
      <c r="F78" s="154"/>
      <c r="G78" s="154"/>
      <c r="H78" s="153"/>
      <c r="I78" s="153"/>
      <c r="J78" s="153"/>
      <c r="K78" s="153"/>
      <c r="L78" s="154"/>
      <c r="M78" s="152"/>
      <c r="N78" s="152"/>
      <c r="O78" s="152"/>
      <c r="P78" s="152"/>
      <c r="Q78" s="129"/>
      <c r="R78" s="133"/>
      <c r="S78" s="133"/>
      <c r="T78" s="133"/>
      <c r="U78" s="133"/>
      <c r="V78" s="133"/>
      <c r="W78" s="133"/>
    </row>
    <row r="79" spans="3:24" x14ac:dyDescent="0.25">
      <c r="C79" s="154"/>
      <c r="D79" s="155"/>
      <c r="E79" s="154"/>
      <c r="F79" s="154"/>
      <c r="G79" s="154"/>
      <c r="H79" s="153"/>
      <c r="I79" s="153"/>
      <c r="J79" s="153"/>
      <c r="K79" s="153"/>
      <c r="L79" s="154"/>
      <c r="M79" s="152"/>
      <c r="N79" s="152"/>
      <c r="O79" s="152"/>
      <c r="P79" s="152"/>
      <c r="Q79" s="129"/>
      <c r="R79" s="133"/>
      <c r="S79" s="133"/>
      <c r="T79" s="133"/>
      <c r="U79" s="133"/>
      <c r="V79" s="133"/>
      <c r="W79" s="133"/>
    </row>
    <row r="80" spans="3:24" x14ac:dyDescent="0.25">
      <c r="C80" s="154"/>
      <c r="D80" s="155"/>
      <c r="E80" s="154"/>
      <c r="F80" s="154"/>
      <c r="G80" s="154"/>
      <c r="H80" s="153"/>
      <c r="I80" s="153"/>
      <c r="J80" s="153"/>
      <c r="K80" s="153"/>
      <c r="L80" s="154"/>
      <c r="M80" s="152"/>
      <c r="N80" s="152"/>
      <c r="O80" s="152"/>
      <c r="P80" s="152"/>
      <c r="Q80" s="129"/>
      <c r="R80" s="133"/>
      <c r="S80" s="133"/>
      <c r="T80" s="133"/>
      <c r="U80" s="133"/>
      <c r="V80" s="133"/>
      <c r="W80" s="133"/>
    </row>
    <row r="81" spans="3:23" x14ac:dyDescent="0.25">
      <c r="C81" s="154"/>
      <c r="D81" s="155"/>
      <c r="E81" s="154"/>
      <c r="F81" s="154"/>
      <c r="G81" s="154"/>
      <c r="H81" s="153"/>
      <c r="I81" s="153"/>
      <c r="J81" s="153"/>
      <c r="K81" s="153"/>
      <c r="L81" s="154"/>
      <c r="M81" s="152"/>
      <c r="N81" s="152"/>
      <c r="O81" s="152"/>
      <c r="P81" s="152"/>
      <c r="Q81" s="129"/>
      <c r="R81" s="133"/>
      <c r="S81" s="133"/>
      <c r="T81" s="133"/>
      <c r="U81" s="133"/>
      <c r="V81" s="133"/>
      <c r="W81" s="133"/>
    </row>
    <row r="82" spans="3:23" x14ac:dyDescent="0.25">
      <c r="C82" s="154"/>
      <c r="D82" s="155"/>
      <c r="E82" s="154"/>
      <c r="F82" s="154"/>
      <c r="G82" s="154"/>
      <c r="H82" s="153"/>
      <c r="I82" s="153"/>
      <c r="J82" s="153"/>
      <c r="K82" s="153"/>
      <c r="L82" s="154"/>
      <c r="M82" s="152"/>
      <c r="N82" s="152"/>
      <c r="O82" s="152"/>
      <c r="P82" s="152"/>
      <c r="Q82" s="129"/>
      <c r="R82" s="133"/>
      <c r="S82" s="133"/>
      <c r="T82" s="133"/>
      <c r="U82" s="133"/>
      <c r="V82" s="133"/>
      <c r="W82" s="133"/>
    </row>
    <row r="83" spans="3:23" x14ac:dyDescent="0.25">
      <c r="C83" s="154"/>
      <c r="D83" s="155"/>
      <c r="E83" s="154"/>
      <c r="F83" s="154"/>
      <c r="G83" s="154"/>
      <c r="H83" s="153"/>
      <c r="I83" s="153"/>
      <c r="J83" s="153"/>
      <c r="K83" s="153"/>
      <c r="L83" s="154"/>
      <c r="M83" s="152"/>
      <c r="N83" s="152"/>
      <c r="O83" s="152"/>
      <c r="P83" s="152"/>
      <c r="Q83" s="129"/>
      <c r="R83" s="133"/>
      <c r="S83" s="133"/>
      <c r="T83" s="133"/>
      <c r="U83" s="133"/>
      <c r="V83" s="133"/>
      <c r="W83" s="133"/>
    </row>
    <row r="84" spans="3:23" x14ac:dyDescent="0.25">
      <c r="C84" s="154"/>
      <c r="D84" s="155"/>
      <c r="E84" s="154"/>
      <c r="F84" s="154"/>
      <c r="G84" s="154"/>
      <c r="H84" s="153"/>
      <c r="I84" s="153"/>
      <c r="J84" s="153"/>
      <c r="K84" s="153"/>
      <c r="L84" s="154"/>
      <c r="M84" s="152"/>
      <c r="N84" s="152"/>
      <c r="O84" s="152"/>
      <c r="P84" s="152"/>
      <c r="Q84" s="129"/>
      <c r="R84" s="133"/>
      <c r="S84" s="133"/>
      <c r="T84" s="133"/>
      <c r="U84" s="133"/>
      <c r="V84" s="133"/>
      <c r="W84" s="133"/>
    </row>
    <row r="85" spans="3:23" x14ac:dyDescent="0.25">
      <c r="C85" s="154"/>
      <c r="D85" s="162"/>
      <c r="E85" s="167"/>
      <c r="F85" s="167"/>
      <c r="G85" s="167"/>
      <c r="H85" s="168"/>
      <c r="I85" s="168"/>
      <c r="J85" s="168"/>
      <c r="K85" s="168"/>
      <c r="L85" s="154"/>
      <c r="M85" s="152"/>
      <c r="N85" s="152"/>
      <c r="O85" s="152"/>
      <c r="P85" s="152"/>
      <c r="Q85" s="129"/>
      <c r="R85" s="133"/>
      <c r="S85" s="133"/>
      <c r="T85" s="133"/>
      <c r="U85" s="133"/>
      <c r="V85" s="133"/>
      <c r="W85" s="133"/>
    </row>
    <row r="86" spans="3:23" x14ac:dyDescent="0.25">
      <c r="M86" s="103"/>
      <c r="N86" s="103"/>
      <c r="O86" s="103"/>
      <c r="P86" s="103"/>
      <c r="Q86" s="129"/>
      <c r="R86" s="133"/>
      <c r="S86" s="133"/>
      <c r="T86" s="133"/>
      <c r="U86" s="133"/>
      <c r="V86" s="133"/>
      <c r="W86" s="133"/>
    </row>
    <row r="87" spans="3:23" x14ac:dyDescent="0.25">
      <c r="M87" s="103"/>
      <c r="N87" s="103"/>
      <c r="O87" s="103"/>
      <c r="P87" s="103"/>
      <c r="Q87" s="129"/>
      <c r="R87" s="133"/>
      <c r="S87" s="133"/>
      <c r="T87" s="133"/>
      <c r="U87" s="133"/>
      <c r="V87" s="133"/>
      <c r="W87" s="133"/>
    </row>
    <row r="88" spans="3:23" x14ac:dyDescent="0.25">
      <c r="M88" s="103"/>
      <c r="N88" s="103"/>
      <c r="O88" s="103"/>
      <c r="P88" s="103"/>
      <c r="Q88" s="103"/>
      <c r="R88" s="133"/>
      <c r="S88" s="133"/>
      <c r="T88" s="133"/>
      <c r="U88" s="133"/>
      <c r="V88" s="133"/>
      <c r="W88" s="133"/>
    </row>
    <row r="89" spans="3:23" x14ac:dyDescent="0.25">
      <c r="M89" s="103"/>
      <c r="N89" s="103"/>
      <c r="O89" s="103"/>
      <c r="P89" s="103"/>
      <c r="Q89" s="103"/>
      <c r="R89" s="133"/>
      <c r="S89" s="133"/>
      <c r="T89" s="133"/>
      <c r="U89" s="133"/>
      <c r="V89" s="133"/>
      <c r="W89" s="133"/>
    </row>
    <row r="90" spans="3:23" x14ac:dyDescent="0.25">
      <c r="M90" s="103"/>
      <c r="N90" s="103"/>
      <c r="O90" s="103"/>
      <c r="P90" s="103"/>
      <c r="Q90" s="103"/>
      <c r="R90" s="133"/>
      <c r="S90" s="133"/>
      <c r="T90" s="133"/>
      <c r="U90" s="133"/>
      <c r="V90" s="133"/>
      <c r="W90" s="133"/>
    </row>
    <row r="91" spans="3:23" x14ac:dyDescent="0.25">
      <c r="M91" s="103"/>
      <c r="N91" s="103"/>
      <c r="O91" s="103"/>
      <c r="P91" s="103"/>
      <c r="Q91" s="103"/>
      <c r="R91" s="133"/>
      <c r="S91" s="133"/>
      <c r="T91" s="133"/>
      <c r="U91" s="133"/>
      <c r="V91" s="133"/>
      <c r="W91" s="133"/>
    </row>
    <row r="92" spans="3:23" x14ac:dyDescent="0.25">
      <c r="R92" s="157"/>
      <c r="S92" s="157"/>
      <c r="T92" s="157"/>
      <c r="U92" s="157"/>
      <c r="V92" s="157"/>
      <c r="W92" s="157"/>
    </row>
    <row r="93" spans="3:23" x14ac:dyDescent="0.25">
      <c r="R93" s="157"/>
      <c r="S93" s="157"/>
      <c r="T93" s="157"/>
      <c r="U93" s="157"/>
      <c r="V93" s="157"/>
      <c r="W93" s="157"/>
    </row>
    <row r="94" spans="3:23" x14ac:dyDescent="0.25">
      <c r="R94" s="157"/>
      <c r="S94" s="157"/>
      <c r="T94" s="157"/>
      <c r="U94" s="157"/>
      <c r="V94" s="157"/>
      <c r="W94" s="157"/>
    </row>
    <row r="95" spans="3:23" x14ac:dyDescent="0.25">
      <c r="R95" s="157"/>
      <c r="S95" s="157"/>
      <c r="T95" s="157"/>
      <c r="U95" s="157"/>
      <c r="V95" s="157"/>
      <c r="W95" s="157"/>
    </row>
    <row r="96" spans="3:23" x14ac:dyDescent="0.25">
      <c r="R96" s="157"/>
      <c r="S96" s="157"/>
      <c r="T96" s="157"/>
      <c r="U96" s="157"/>
      <c r="V96" s="157"/>
      <c r="W96" s="157"/>
    </row>
    <row r="97" spans="18:23" x14ac:dyDescent="0.25">
      <c r="R97" s="157"/>
      <c r="S97" s="157"/>
      <c r="T97" s="157"/>
      <c r="U97" s="157"/>
      <c r="V97" s="157"/>
      <c r="W97" s="157"/>
    </row>
    <row r="98" spans="18:23" x14ac:dyDescent="0.25">
      <c r="R98" s="157"/>
      <c r="S98" s="157"/>
      <c r="T98" s="157"/>
      <c r="U98" s="157"/>
      <c r="V98" s="157"/>
      <c r="W98" s="157"/>
    </row>
    <row r="99" spans="18:23" x14ac:dyDescent="0.25">
      <c r="R99" s="157"/>
      <c r="S99" s="157"/>
      <c r="T99" s="157"/>
      <c r="U99" s="157"/>
      <c r="V99" s="157"/>
      <c r="W99" s="157"/>
    </row>
    <row r="100" spans="18:23" x14ac:dyDescent="0.25">
      <c r="R100" s="157"/>
      <c r="S100" s="157"/>
      <c r="T100" s="157"/>
      <c r="U100" s="157"/>
      <c r="V100" s="157"/>
      <c r="W100" s="157"/>
    </row>
    <row r="101" spans="18:23" x14ac:dyDescent="0.25">
      <c r="R101" s="157"/>
      <c r="S101" s="157"/>
      <c r="T101" s="157"/>
      <c r="U101" s="157"/>
      <c r="V101" s="157"/>
      <c r="W101" s="157"/>
    </row>
    <row r="102" spans="18:23" x14ac:dyDescent="0.25">
      <c r="R102" s="157"/>
      <c r="S102" s="157"/>
      <c r="T102" s="157"/>
      <c r="U102" s="157"/>
      <c r="V102" s="157"/>
      <c r="W102" s="157"/>
    </row>
    <row r="103" spans="18:23" x14ac:dyDescent="0.25">
      <c r="R103" s="157"/>
      <c r="S103" s="157"/>
      <c r="T103" s="157"/>
      <c r="U103" s="157"/>
      <c r="V103" s="157"/>
      <c r="W103" s="157"/>
    </row>
    <row r="104" spans="18:23" x14ac:dyDescent="0.25">
      <c r="R104" s="157"/>
      <c r="S104" s="157"/>
      <c r="T104" s="157"/>
      <c r="U104" s="157"/>
      <c r="V104" s="157"/>
      <c r="W104" s="157"/>
    </row>
    <row r="105" spans="18:23" x14ac:dyDescent="0.25">
      <c r="R105" s="157"/>
      <c r="S105" s="157"/>
      <c r="T105" s="157"/>
      <c r="U105" s="157"/>
      <c r="V105" s="157"/>
      <c r="W105" s="157"/>
    </row>
    <row r="106" spans="18:23" x14ac:dyDescent="0.25">
      <c r="R106" s="157"/>
      <c r="S106" s="157"/>
      <c r="T106" s="157"/>
      <c r="U106" s="157"/>
      <c r="V106" s="157"/>
      <c r="W106" s="157"/>
    </row>
    <row r="107" spans="18:23" x14ac:dyDescent="0.25">
      <c r="R107" s="157"/>
      <c r="S107" s="157"/>
      <c r="T107" s="157"/>
      <c r="U107" s="157"/>
      <c r="V107" s="157"/>
      <c r="W107" s="157"/>
    </row>
    <row r="108" spans="18:23" x14ac:dyDescent="0.25">
      <c r="R108" s="157"/>
      <c r="S108" s="157"/>
      <c r="T108" s="157"/>
      <c r="U108" s="157"/>
      <c r="V108" s="157"/>
      <c r="W108" s="157"/>
    </row>
    <row r="109" spans="18:23" x14ac:dyDescent="0.25">
      <c r="R109" s="157"/>
      <c r="S109" s="157"/>
      <c r="T109" s="157"/>
      <c r="U109" s="157"/>
      <c r="V109" s="157"/>
      <c r="W109" s="157"/>
    </row>
    <row r="110" spans="18:23" x14ac:dyDescent="0.25">
      <c r="R110" s="157"/>
      <c r="S110" s="157"/>
      <c r="T110" s="157"/>
      <c r="U110" s="157"/>
      <c r="V110" s="157"/>
      <c r="W110" s="157"/>
    </row>
    <row r="111" spans="18:23" x14ac:dyDescent="0.25">
      <c r="R111" s="157"/>
      <c r="S111" s="157"/>
      <c r="T111" s="157"/>
      <c r="U111" s="157"/>
      <c r="V111" s="157"/>
      <c r="W111" s="157"/>
    </row>
    <row r="112" spans="18:23" x14ac:dyDescent="0.25">
      <c r="R112" s="157"/>
      <c r="S112" s="157"/>
      <c r="T112" s="157"/>
      <c r="U112" s="157"/>
      <c r="V112" s="157"/>
      <c r="W112" s="157"/>
    </row>
    <row r="113" spans="18:23" x14ac:dyDescent="0.25">
      <c r="R113" s="157"/>
      <c r="S113" s="157"/>
      <c r="T113" s="157"/>
      <c r="U113" s="157"/>
      <c r="V113" s="157"/>
      <c r="W113" s="157"/>
    </row>
    <row r="114" spans="18:23" x14ac:dyDescent="0.25">
      <c r="R114" s="157"/>
      <c r="S114" s="157"/>
      <c r="T114" s="157"/>
      <c r="U114" s="157"/>
      <c r="V114" s="157"/>
      <c r="W114" s="157"/>
    </row>
    <row r="115" spans="18:23" x14ac:dyDescent="0.25">
      <c r="R115" s="157"/>
      <c r="S115" s="157"/>
      <c r="T115" s="157"/>
      <c r="U115" s="157"/>
      <c r="V115" s="157"/>
      <c r="W115" s="157"/>
    </row>
    <row r="116" spans="18:23" x14ac:dyDescent="0.25">
      <c r="R116" s="157"/>
      <c r="S116" s="157"/>
      <c r="T116" s="157"/>
      <c r="U116" s="157"/>
      <c r="V116" s="157"/>
      <c r="W116" s="157"/>
    </row>
    <row r="117" spans="18:23" x14ac:dyDescent="0.25">
      <c r="R117" s="157"/>
      <c r="S117" s="157"/>
      <c r="T117" s="157"/>
      <c r="U117" s="157"/>
      <c r="V117" s="157"/>
      <c r="W117" s="157"/>
    </row>
    <row r="118" spans="18:23" x14ac:dyDescent="0.25">
      <c r="R118" s="157"/>
      <c r="S118" s="157"/>
      <c r="T118" s="157"/>
      <c r="U118" s="157"/>
      <c r="V118" s="157"/>
      <c r="W118" s="157"/>
    </row>
    <row r="119" spans="18:23" x14ac:dyDescent="0.25">
      <c r="R119" s="157"/>
      <c r="S119" s="157"/>
      <c r="T119" s="157"/>
      <c r="U119" s="157"/>
      <c r="V119" s="157"/>
      <c r="W119" s="157"/>
    </row>
    <row r="120" spans="18:23" x14ac:dyDescent="0.25">
      <c r="R120" s="157"/>
      <c r="S120" s="157"/>
      <c r="T120" s="157"/>
      <c r="U120" s="157"/>
      <c r="V120" s="157"/>
      <c r="W120" s="157"/>
    </row>
    <row r="121" spans="18:23" x14ac:dyDescent="0.25">
      <c r="R121" s="157"/>
      <c r="S121" s="157"/>
      <c r="T121" s="157"/>
      <c r="U121" s="157"/>
      <c r="V121" s="157"/>
      <c r="W121" s="157"/>
    </row>
    <row r="122" spans="18:23" x14ac:dyDescent="0.25">
      <c r="R122" s="157"/>
      <c r="S122" s="157"/>
      <c r="T122" s="157"/>
      <c r="U122" s="157"/>
      <c r="V122" s="157"/>
      <c r="W122" s="157"/>
    </row>
    <row r="123" spans="18:23" x14ac:dyDescent="0.25">
      <c r="R123" s="157"/>
      <c r="S123" s="157"/>
      <c r="T123" s="157"/>
      <c r="U123" s="157"/>
      <c r="V123" s="157"/>
      <c r="W123" s="157"/>
    </row>
    <row r="124" spans="18:23" x14ac:dyDescent="0.25">
      <c r="R124" s="157"/>
      <c r="S124" s="157"/>
      <c r="T124" s="157"/>
      <c r="U124" s="157"/>
      <c r="V124" s="157"/>
      <c r="W124" s="157"/>
    </row>
    <row r="125" spans="18:23" x14ac:dyDescent="0.25">
      <c r="R125" s="157"/>
      <c r="S125" s="157"/>
      <c r="T125" s="157"/>
      <c r="U125" s="157"/>
      <c r="V125" s="157"/>
      <c r="W125" s="157"/>
    </row>
    <row r="126" spans="18:23" x14ac:dyDescent="0.25">
      <c r="R126" s="157"/>
      <c r="S126" s="157"/>
      <c r="T126" s="157"/>
      <c r="U126" s="157"/>
      <c r="V126" s="157"/>
      <c r="W126" s="157"/>
    </row>
    <row r="127" spans="18:23" x14ac:dyDescent="0.25">
      <c r="R127" s="157"/>
      <c r="S127" s="157"/>
      <c r="T127" s="157"/>
      <c r="U127" s="157"/>
      <c r="V127" s="157"/>
      <c r="W127" s="157"/>
    </row>
    <row r="128" spans="18:23" x14ac:dyDescent="0.25">
      <c r="R128" s="157"/>
      <c r="S128" s="157"/>
      <c r="T128" s="157"/>
      <c r="U128" s="157"/>
      <c r="V128" s="157"/>
      <c r="W128" s="157"/>
    </row>
    <row r="129" spans="18:23" x14ac:dyDescent="0.25">
      <c r="R129" s="157"/>
      <c r="S129" s="157"/>
      <c r="T129" s="157"/>
      <c r="U129" s="157"/>
      <c r="V129" s="157"/>
      <c r="W129" s="157"/>
    </row>
    <row r="130" spans="18:23" x14ac:dyDescent="0.25">
      <c r="R130" s="157"/>
      <c r="S130" s="157"/>
      <c r="T130" s="157"/>
      <c r="U130" s="157"/>
      <c r="V130" s="157"/>
      <c r="W130" s="157"/>
    </row>
    <row r="131" spans="18:23" x14ac:dyDescent="0.25">
      <c r="R131" s="157"/>
      <c r="S131" s="157"/>
      <c r="T131" s="157"/>
      <c r="U131" s="157"/>
      <c r="V131" s="157"/>
      <c r="W131" s="157"/>
    </row>
    <row r="132" spans="18:23" x14ac:dyDescent="0.25">
      <c r="R132" s="157"/>
      <c r="S132" s="157"/>
      <c r="T132" s="157"/>
      <c r="U132" s="157"/>
      <c r="V132" s="157"/>
      <c r="W132" s="157"/>
    </row>
    <row r="133" spans="18:23" x14ac:dyDescent="0.25">
      <c r="R133" s="157"/>
      <c r="S133" s="157"/>
      <c r="T133" s="157"/>
      <c r="U133" s="157"/>
      <c r="V133" s="157"/>
      <c r="W133" s="157"/>
    </row>
    <row r="134" spans="18:23" x14ac:dyDescent="0.25">
      <c r="R134" s="157"/>
      <c r="S134" s="157"/>
      <c r="T134" s="157"/>
      <c r="U134" s="157"/>
      <c r="V134" s="157"/>
      <c r="W134" s="157"/>
    </row>
    <row r="135" spans="18:23" x14ac:dyDescent="0.25">
      <c r="R135" s="157"/>
      <c r="S135" s="157"/>
      <c r="T135" s="157"/>
      <c r="U135" s="157"/>
      <c r="V135" s="157"/>
      <c r="W135" s="157"/>
    </row>
    <row r="136" spans="18:23" x14ac:dyDescent="0.25">
      <c r="R136" s="157"/>
      <c r="S136" s="157"/>
      <c r="T136" s="157"/>
      <c r="U136" s="157"/>
      <c r="V136" s="157"/>
      <c r="W136" s="157"/>
    </row>
    <row r="137" spans="18:23" x14ac:dyDescent="0.25">
      <c r="R137" s="157"/>
      <c r="S137" s="157"/>
      <c r="T137" s="157"/>
      <c r="U137" s="157"/>
      <c r="V137" s="157"/>
      <c r="W137" s="157"/>
    </row>
    <row r="138" spans="18:23" x14ac:dyDescent="0.25">
      <c r="R138" s="157"/>
      <c r="S138" s="157"/>
      <c r="T138" s="157"/>
      <c r="U138" s="157"/>
      <c r="V138" s="157"/>
      <c r="W138" s="157"/>
    </row>
    <row r="139" spans="18:23" x14ac:dyDescent="0.25">
      <c r="R139" s="157"/>
      <c r="S139" s="157"/>
      <c r="T139" s="157"/>
      <c r="U139" s="157"/>
      <c r="V139" s="157"/>
      <c r="W139" s="157"/>
    </row>
    <row r="140" spans="18:23" x14ac:dyDescent="0.25">
      <c r="R140" s="157"/>
      <c r="S140" s="157"/>
      <c r="T140" s="157"/>
      <c r="U140" s="157"/>
      <c r="V140" s="157"/>
      <c r="W140" s="157"/>
    </row>
    <row r="141" spans="18:23" x14ac:dyDescent="0.25">
      <c r="R141" s="157"/>
      <c r="S141" s="157"/>
      <c r="T141" s="157"/>
      <c r="U141" s="157"/>
      <c r="V141" s="157"/>
      <c r="W141" s="157"/>
    </row>
    <row r="142" spans="18:23" x14ac:dyDescent="0.25">
      <c r="R142" s="157"/>
      <c r="S142" s="157"/>
      <c r="T142" s="157"/>
      <c r="U142" s="157"/>
      <c r="V142" s="157"/>
      <c r="W142" s="157"/>
    </row>
    <row r="143" spans="18:23" x14ac:dyDescent="0.25">
      <c r="R143" s="157"/>
      <c r="S143" s="157"/>
      <c r="T143" s="157"/>
      <c r="U143" s="157"/>
      <c r="V143" s="157"/>
      <c r="W143" s="157"/>
    </row>
    <row r="144" spans="18:23" x14ac:dyDescent="0.25">
      <c r="R144" s="157"/>
      <c r="S144" s="157"/>
      <c r="T144" s="157"/>
      <c r="U144" s="157"/>
      <c r="V144" s="157"/>
      <c r="W144" s="157"/>
    </row>
    <row r="145" spans="18:23" x14ac:dyDescent="0.25">
      <c r="R145" s="157"/>
      <c r="S145" s="157"/>
      <c r="T145" s="157"/>
      <c r="U145" s="157"/>
      <c r="V145" s="157"/>
      <c r="W145" s="157"/>
    </row>
    <row r="146" spans="18:23" x14ac:dyDescent="0.25">
      <c r="R146" s="157"/>
      <c r="S146" s="157"/>
      <c r="T146" s="157"/>
      <c r="U146" s="157"/>
      <c r="V146" s="157"/>
      <c r="W146" s="157"/>
    </row>
    <row r="147" spans="18:23" x14ac:dyDescent="0.25">
      <c r="R147" s="157"/>
      <c r="S147" s="157"/>
      <c r="T147" s="157"/>
      <c r="U147" s="157"/>
      <c r="V147" s="157"/>
      <c r="W147" s="157"/>
    </row>
    <row r="148" spans="18:23" x14ac:dyDescent="0.25">
      <c r="R148" s="157"/>
      <c r="S148" s="157"/>
      <c r="T148" s="157"/>
      <c r="U148" s="157"/>
      <c r="V148" s="157"/>
      <c r="W148" s="157"/>
    </row>
    <row r="149" spans="18:23" x14ac:dyDescent="0.25">
      <c r="R149" s="157"/>
      <c r="S149" s="157"/>
      <c r="T149" s="157"/>
      <c r="U149" s="157"/>
      <c r="V149" s="157"/>
      <c r="W149" s="157"/>
    </row>
    <row r="150" spans="18:23" x14ac:dyDescent="0.25">
      <c r="R150" s="157"/>
      <c r="S150" s="157"/>
      <c r="T150" s="157"/>
      <c r="U150" s="157"/>
      <c r="V150" s="157"/>
      <c r="W150" s="157"/>
    </row>
    <row r="151" spans="18:23" x14ac:dyDescent="0.25">
      <c r="R151" s="157"/>
      <c r="S151" s="157"/>
      <c r="T151" s="157"/>
      <c r="U151" s="157"/>
      <c r="V151" s="157"/>
      <c r="W151" s="157"/>
    </row>
    <row r="152" spans="18:23" x14ac:dyDescent="0.25">
      <c r="R152" s="157"/>
      <c r="S152" s="157"/>
      <c r="T152" s="157"/>
      <c r="U152" s="157"/>
      <c r="V152" s="157"/>
      <c r="W152" s="157"/>
    </row>
    <row r="153" spans="18:23" x14ac:dyDescent="0.25">
      <c r="R153" s="157"/>
      <c r="S153" s="157"/>
      <c r="T153" s="157"/>
      <c r="U153" s="157"/>
      <c r="V153" s="157"/>
      <c r="W153" s="157"/>
    </row>
    <row r="154" spans="18:23" x14ac:dyDescent="0.25">
      <c r="R154" s="157"/>
      <c r="S154" s="157"/>
      <c r="T154" s="157"/>
      <c r="U154" s="157"/>
      <c r="V154" s="157"/>
      <c r="W154" s="157"/>
    </row>
    <row r="155" spans="18:23" x14ac:dyDescent="0.25">
      <c r="R155" s="157"/>
      <c r="S155" s="157"/>
      <c r="T155" s="157"/>
      <c r="U155" s="157"/>
      <c r="V155" s="157"/>
      <c r="W155" s="157"/>
    </row>
    <row r="156" spans="18:23" x14ac:dyDescent="0.25">
      <c r="R156" s="157"/>
      <c r="S156" s="157"/>
      <c r="T156" s="157"/>
      <c r="U156" s="157"/>
      <c r="V156" s="157"/>
      <c r="W156" s="157"/>
    </row>
    <row r="157" spans="18:23" x14ac:dyDescent="0.25">
      <c r="R157" s="157"/>
      <c r="S157" s="157"/>
      <c r="T157" s="157"/>
      <c r="U157" s="157"/>
      <c r="V157" s="157"/>
      <c r="W157" s="157"/>
    </row>
    <row r="158" spans="18:23" x14ac:dyDescent="0.25">
      <c r="R158" s="157"/>
      <c r="S158" s="157"/>
      <c r="T158" s="157"/>
      <c r="U158" s="157"/>
      <c r="V158" s="157"/>
      <c r="W158" s="157"/>
    </row>
    <row r="159" spans="18:23" x14ac:dyDescent="0.25">
      <c r="R159" s="157"/>
      <c r="S159" s="157"/>
      <c r="T159" s="157"/>
      <c r="U159" s="157"/>
      <c r="V159" s="157"/>
      <c r="W159" s="157"/>
    </row>
    <row r="160" spans="18:23" x14ac:dyDescent="0.25">
      <c r="R160" s="157"/>
      <c r="S160" s="157"/>
      <c r="T160" s="157"/>
      <c r="U160" s="157"/>
      <c r="V160" s="157"/>
      <c r="W160" s="157"/>
    </row>
    <row r="161" spans="18:23" x14ac:dyDescent="0.25">
      <c r="R161" s="157"/>
      <c r="S161" s="157"/>
      <c r="T161" s="157"/>
      <c r="U161" s="157"/>
      <c r="V161" s="157"/>
      <c r="W161" s="157"/>
    </row>
    <row r="162" spans="18:23" x14ac:dyDescent="0.25">
      <c r="R162" s="157"/>
      <c r="S162" s="157"/>
      <c r="T162" s="157"/>
      <c r="U162" s="157"/>
      <c r="V162" s="157"/>
      <c r="W162" s="157"/>
    </row>
    <row r="163" spans="18:23" x14ac:dyDescent="0.25">
      <c r="R163" s="157"/>
      <c r="S163" s="157"/>
      <c r="T163" s="157"/>
      <c r="U163" s="157"/>
      <c r="V163" s="157"/>
      <c r="W163" s="157"/>
    </row>
    <row r="164" spans="18:23" x14ac:dyDescent="0.25">
      <c r="R164" s="157"/>
      <c r="S164" s="157"/>
      <c r="T164" s="157"/>
      <c r="U164" s="157"/>
      <c r="V164" s="157"/>
      <c r="W164" s="157"/>
    </row>
    <row r="165" spans="18:23" x14ac:dyDescent="0.25">
      <c r="R165" s="157"/>
      <c r="S165" s="157"/>
      <c r="T165" s="157"/>
      <c r="U165" s="157"/>
      <c r="V165" s="157"/>
      <c r="W165" s="157"/>
    </row>
    <row r="166" spans="18:23" x14ac:dyDescent="0.25">
      <c r="R166" s="157"/>
      <c r="S166" s="157"/>
      <c r="T166" s="157"/>
      <c r="U166" s="157"/>
      <c r="V166" s="157"/>
      <c r="W166" s="157"/>
    </row>
    <row r="167" spans="18:23" x14ac:dyDescent="0.25">
      <c r="R167" s="157"/>
      <c r="S167" s="157"/>
      <c r="T167" s="157"/>
      <c r="U167" s="157"/>
      <c r="V167" s="157"/>
      <c r="W167" s="157"/>
    </row>
    <row r="168" spans="18:23" x14ac:dyDescent="0.25">
      <c r="R168" s="157"/>
      <c r="S168" s="157"/>
      <c r="T168" s="157"/>
      <c r="U168" s="157"/>
      <c r="V168" s="157"/>
      <c r="W168" s="157"/>
    </row>
    <row r="169" spans="18:23" x14ac:dyDescent="0.25">
      <c r="R169" s="157"/>
      <c r="S169" s="157"/>
      <c r="T169" s="157"/>
      <c r="U169" s="157"/>
      <c r="V169" s="157"/>
      <c r="W169" s="157"/>
    </row>
    <row r="170" spans="18:23" x14ac:dyDescent="0.25">
      <c r="R170" s="157"/>
      <c r="S170" s="157"/>
      <c r="T170" s="157"/>
      <c r="U170" s="157"/>
      <c r="V170" s="157"/>
      <c r="W170" s="157"/>
    </row>
    <row r="171" spans="18:23" x14ac:dyDescent="0.25">
      <c r="R171" s="157"/>
      <c r="S171" s="157"/>
      <c r="T171" s="157"/>
      <c r="U171" s="157"/>
      <c r="V171" s="157"/>
      <c r="W171" s="157"/>
    </row>
    <row r="172" spans="18:23" x14ac:dyDescent="0.25">
      <c r="R172" s="157"/>
      <c r="S172" s="157"/>
      <c r="T172" s="157"/>
      <c r="U172" s="157"/>
      <c r="V172" s="157"/>
      <c r="W172" s="157"/>
    </row>
    <row r="173" spans="18:23" x14ac:dyDescent="0.25">
      <c r="R173" s="157"/>
      <c r="S173" s="157"/>
      <c r="T173" s="157"/>
      <c r="U173" s="157"/>
      <c r="V173" s="157"/>
      <c r="W173" s="157"/>
    </row>
    <row r="174" spans="18:23" x14ac:dyDescent="0.25">
      <c r="R174" s="157"/>
      <c r="S174" s="157"/>
      <c r="T174" s="157"/>
      <c r="U174" s="157"/>
      <c r="V174" s="157"/>
      <c r="W174" s="157"/>
    </row>
    <row r="175" spans="18:23" x14ac:dyDescent="0.25">
      <c r="R175" s="157"/>
      <c r="S175" s="157"/>
      <c r="T175" s="157"/>
      <c r="U175" s="157"/>
      <c r="V175" s="157"/>
      <c r="W175" s="157"/>
    </row>
    <row r="176" spans="18:23" x14ac:dyDescent="0.25">
      <c r="R176" s="157"/>
      <c r="S176" s="157"/>
      <c r="T176" s="157"/>
      <c r="U176" s="157"/>
      <c r="V176" s="157"/>
      <c r="W176" s="157"/>
    </row>
    <row r="177" spans="18:23" x14ac:dyDescent="0.25">
      <c r="R177" s="157"/>
      <c r="S177" s="157"/>
      <c r="T177" s="157"/>
      <c r="U177" s="157"/>
      <c r="V177" s="157"/>
      <c r="W177" s="157"/>
    </row>
    <row r="178" spans="18:23" x14ac:dyDescent="0.25">
      <c r="R178" s="157"/>
      <c r="S178" s="157"/>
      <c r="T178" s="157"/>
      <c r="U178" s="157"/>
      <c r="V178" s="157"/>
      <c r="W178" s="157"/>
    </row>
    <row r="179" spans="18:23" x14ac:dyDescent="0.25">
      <c r="R179" s="157"/>
      <c r="S179" s="157"/>
      <c r="T179" s="157"/>
      <c r="U179" s="157"/>
      <c r="V179" s="157"/>
      <c r="W179" s="157"/>
    </row>
    <row r="180" spans="18:23" x14ac:dyDescent="0.25">
      <c r="R180" s="157"/>
      <c r="S180" s="157"/>
      <c r="T180" s="157"/>
      <c r="U180" s="157"/>
      <c r="V180" s="157"/>
      <c r="W180" s="157"/>
    </row>
    <row r="181" spans="18:23" x14ac:dyDescent="0.25">
      <c r="R181" s="157"/>
      <c r="S181" s="157"/>
      <c r="T181" s="157"/>
      <c r="U181" s="157"/>
      <c r="V181" s="157"/>
      <c r="W181" s="157"/>
    </row>
    <row r="182" spans="18:23" x14ac:dyDescent="0.25">
      <c r="R182" s="157"/>
      <c r="S182" s="157"/>
      <c r="T182" s="157"/>
      <c r="U182" s="157"/>
      <c r="V182" s="157"/>
      <c r="W182" s="157"/>
    </row>
    <row r="183" spans="18:23" x14ac:dyDescent="0.25">
      <c r="R183" s="157"/>
      <c r="S183" s="157"/>
      <c r="T183" s="157"/>
      <c r="U183" s="157"/>
      <c r="V183" s="157"/>
      <c r="W183" s="157"/>
    </row>
    <row r="184" spans="18:23" x14ac:dyDescent="0.25">
      <c r="R184" s="157"/>
      <c r="S184" s="157"/>
      <c r="T184" s="157"/>
      <c r="U184" s="157"/>
      <c r="V184" s="157"/>
      <c r="W184" s="157"/>
    </row>
    <row r="185" spans="18:23" x14ac:dyDescent="0.25">
      <c r="R185" s="157"/>
      <c r="S185" s="157"/>
      <c r="T185" s="157"/>
      <c r="U185" s="157"/>
      <c r="V185" s="157"/>
      <c r="W185" s="157"/>
    </row>
    <row r="186" spans="18:23" x14ac:dyDescent="0.25">
      <c r="R186" s="157"/>
      <c r="S186" s="157"/>
      <c r="T186" s="157"/>
      <c r="U186" s="157"/>
      <c r="V186" s="157"/>
      <c r="W186" s="157"/>
    </row>
    <row r="187" spans="18:23" x14ac:dyDescent="0.25">
      <c r="R187" s="157"/>
      <c r="S187" s="157"/>
      <c r="T187" s="157"/>
      <c r="U187" s="157"/>
      <c r="V187" s="157"/>
      <c r="W187" s="157"/>
    </row>
    <row r="188" spans="18:23" x14ac:dyDescent="0.25">
      <c r="R188" s="157"/>
      <c r="S188" s="157"/>
      <c r="T188" s="157"/>
      <c r="U188" s="157"/>
      <c r="V188" s="157"/>
      <c r="W188" s="157"/>
    </row>
    <row r="189" spans="18:23" x14ac:dyDescent="0.25">
      <c r="R189" s="157"/>
      <c r="S189" s="157"/>
      <c r="T189" s="157"/>
      <c r="U189" s="157"/>
      <c r="V189" s="157"/>
      <c r="W189" s="157"/>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6:C18">
    <cfRule type="expression" dxfId="561" priority="137" stopIfTrue="1">
      <formula>B16=3</formula>
    </cfRule>
    <cfRule type="expression" dxfId="560" priority="138" stopIfTrue="1">
      <formula>B16=4</formula>
    </cfRule>
    <cfRule type="expression" dxfId="559" priority="139" stopIfTrue="1">
      <formula>B16=5</formula>
    </cfRule>
  </conditionalFormatting>
  <conditionalFormatting sqref="F5:F40">
    <cfRule type="expression" dxfId="558" priority="133">
      <formula>$H5=0</formula>
    </cfRule>
    <cfRule type="expression" dxfId="557" priority="136">
      <formula>$H5=0</formula>
    </cfRule>
  </conditionalFormatting>
  <conditionalFormatting sqref="H5:H40">
    <cfRule type="cellIs" dxfId="556" priority="140" stopIfTrue="1" operator="between">
      <formula>0.1</formula>
      <formula>1.9</formula>
    </cfRule>
    <cfRule type="cellIs" dxfId="555" priority="141" stopIfTrue="1" operator="between">
      <formula>3</formula>
      <formula>3.9</formula>
    </cfRule>
    <cfRule type="cellIs" dxfId="554" priority="142" stopIfTrue="1" operator="between">
      <formula>4</formula>
      <formula>5</formula>
    </cfRule>
  </conditionalFormatting>
  <conditionalFormatting sqref="F5:F40">
    <cfRule type="expression" dxfId="553" priority="134">
      <formula>$H5&lt;#REF!</formula>
    </cfRule>
    <cfRule type="expression" dxfId="552" priority="135">
      <formula>$H5&gt;=#REF!</formula>
    </cfRule>
  </conditionalFormatting>
  <conditionalFormatting sqref="E5:E40">
    <cfRule type="expression" dxfId="551" priority="127">
      <formula>$D5=3</formula>
    </cfRule>
    <cfRule type="expression" dxfId="550" priority="128">
      <formula>$D5=4</formula>
    </cfRule>
    <cfRule type="expression" dxfId="549" priority="129">
      <formula>$D5=5</formula>
    </cfRule>
    <cfRule type="expression" dxfId="548" priority="130">
      <formula>$D5=8</formula>
    </cfRule>
    <cfRule type="expression" dxfId="547" priority="131">
      <formula>$D5=7</formula>
    </cfRule>
    <cfRule type="expression" dxfId="546" priority="132">
      <formula>$D5=6</formula>
    </cfRule>
  </conditionalFormatting>
  <conditionalFormatting sqref="C16:C18">
    <cfRule type="cellIs" dxfId="545" priority="123" operator="equal">
      <formula>""</formula>
    </cfRule>
    <cfRule type="expression" dxfId="544" priority="124" stopIfTrue="1">
      <formula>B16=8</formula>
    </cfRule>
    <cfRule type="expression" dxfId="543" priority="125" stopIfTrue="1">
      <formula>B16=7</formula>
    </cfRule>
    <cfRule type="expression" dxfId="542" priority="126" stopIfTrue="1">
      <formula>B16=6</formula>
    </cfRule>
  </conditionalFormatting>
  <conditionalFormatting sqref="C38:C40">
    <cfRule type="expression" dxfId="541" priority="120" stopIfTrue="1">
      <formula>B38=3</formula>
    </cfRule>
    <cfRule type="expression" dxfId="540" priority="121" stopIfTrue="1">
      <formula>B38=4</formula>
    </cfRule>
    <cfRule type="expression" dxfId="539" priority="122" stopIfTrue="1">
      <formula>B38=5</formula>
    </cfRule>
  </conditionalFormatting>
  <conditionalFormatting sqref="C38:C40">
    <cfRule type="cellIs" dxfId="538" priority="116" operator="equal">
      <formula>""</formula>
    </cfRule>
    <cfRule type="expression" dxfId="537" priority="117" stopIfTrue="1">
      <formula>B38=8</formula>
    </cfRule>
    <cfRule type="expression" dxfId="536" priority="118" stopIfTrue="1">
      <formula>B38=7</formula>
    </cfRule>
    <cfRule type="expression" dxfId="535" priority="119" stopIfTrue="1">
      <formula>B38=6</formula>
    </cfRule>
  </conditionalFormatting>
  <conditionalFormatting sqref="G42:G46">
    <cfRule type="cellIs" dxfId="534" priority="113" operator="notEqual">
      <formula>""</formula>
    </cfRule>
  </conditionalFormatting>
  <conditionalFormatting sqref="S7:U7 S9:U9 S11:U11">
    <cfRule type="cellIs" dxfId="533" priority="112" operator="equal">
      <formula>0</formula>
    </cfRule>
  </conditionalFormatting>
  <conditionalFormatting sqref="V13 V15">
    <cfRule type="cellIs" dxfId="532" priority="111" operator="equal">
      <formula>0</formula>
    </cfRule>
  </conditionalFormatting>
  <conditionalFormatting sqref="R13 R15">
    <cfRule type="cellIs" dxfId="531" priority="110" operator="equal">
      <formula>0</formula>
    </cfRule>
  </conditionalFormatting>
  <conditionalFormatting sqref="R7 R9 R11">
    <cfRule type="cellIs" dxfId="530" priority="109" operator="equal">
      <formula>0</formula>
    </cfRule>
  </conditionalFormatting>
  <conditionalFormatting sqref="V7 V9 V11">
    <cfRule type="cellIs" dxfId="529" priority="108" operator="equal">
      <formula>0</formula>
    </cfRule>
  </conditionalFormatting>
  <conditionalFormatting sqref="S13:U13 S15:U15">
    <cfRule type="cellIs" dxfId="528" priority="107" operator="equal">
      <formula>0</formula>
    </cfRule>
  </conditionalFormatting>
  <conditionalFormatting sqref="R6">
    <cfRule type="cellIs" dxfId="527" priority="106" operator="equal">
      <formula>0</formula>
    </cfRule>
  </conditionalFormatting>
  <conditionalFormatting sqref="V6">
    <cfRule type="cellIs" dxfId="526" priority="105" operator="equal">
      <formula>0</formula>
    </cfRule>
  </conditionalFormatting>
  <conditionalFormatting sqref="I5:I40">
    <cfRule type="cellIs" dxfId="525" priority="102" stopIfTrue="1" operator="between">
      <formula>"D-3"</formula>
      <formula>"E-5"</formula>
    </cfRule>
    <cfRule type="cellIs" dxfId="524" priority="103" stopIfTrue="1" operator="between">
      <formula>"B-2"</formula>
      <formula>"B-3"</formula>
    </cfRule>
    <cfRule type="cellIs" dxfId="523" priority="104" stopIfTrue="1" operator="between">
      <formula>"A-1"</formula>
      <formula>"A-2"</formula>
    </cfRule>
  </conditionalFormatting>
  <conditionalFormatting sqref="I5:I40">
    <cfRule type="cellIs" dxfId="522" priority="100" operator="equal">
      <formula>"E-5-"</formula>
    </cfRule>
    <cfRule type="cellIs" dxfId="521" priority="101" operator="equal">
      <formula>"A-1+"</formula>
    </cfRule>
  </conditionalFormatting>
  <conditionalFormatting sqref="C42:C46">
    <cfRule type="cellIs" dxfId="520" priority="92" operator="notEqual">
      <formula>""</formula>
    </cfRule>
  </conditionalFormatting>
  <conditionalFormatting sqref="L34:L40">
    <cfRule type="cellIs" dxfId="519" priority="89" stopIfTrue="1" operator="between">
      <formula>0.1</formula>
      <formula>1.9</formula>
    </cfRule>
    <cfRule type="cellIs" dxfId="518" priority="90" stopIfTrue="1" operator="between">
      <formula>3</formula>
      <formula>3.9</formula>
    </cfRule>
    <cfRule type="cellIs" dxfId="517" priority="91" stopIfTrue="1" operator="between">
      <formula>4</formula>
      <formula>5</formula>
    </cfRule>
  </conditionalFormatting>
  <conditionalFormatting sqref="L31:L33">
    <cfRule type="cellIs" dxfId="516" priority="86" stopIfTrue="1" operator="between">
      <formula>0.1</formula>
      <formula>1.9</formula>
    </cfRule>
    <cfRule type="cellIs" dxfId="515" priority="87" stopIfTrue="1" operator="between">
      <formula>3</formula>
      <formula>3.9</formula>
    </cfRule>
    <cfRule type="cellIs" dxfId="514" priority="88" stopIfTrue="1" operator="between">
      <formula>4</formula>
      <formula>5</formula>
    </cfRule>
  </conditionalFormatting>
  <conditionalFormatting sqref="L29:L30">
    <cfRule type="cellIs" dxfId="513" priority="83" stopIfTrue="1" operator="between">
      <formula>0.1</formula>
      <formula>1.9</formula>
    </cfRule>
    <cfRule type="cellIs" dxfId="512" priority="84" stopIfTrue="1" operator="between">
      <formula>3</formula>
      <formula>3.9</formula>
    </cfRule>
    <cfRule type="cellIs" dxfId="511" priority="85" stopIfTrue="1" operator="between">
      <formula>4</formula>
      <formula>5</formula>
    </cfRule>
  </conditionalFormatting>
  <conditionalFormatting sqref="L25:L28">
    <cfRule type="cellIs" dxfId="510" priority="80" stopIfTrue="1" operator="between">
      <formula>0.1</formula>
      <formula>1.9</formula>
    </cfRule>
    <cfRule type="cellIs" dxfId="509" priority="81" stopIfTrue="1" operator="between">
      <formula>3</formula>
      <formula>3.9</formula>
    </cfRule>
    <cfRule type="cellIs" dxfId="508" priority="82" stopIfTrue="1" operator="between">
      <formula>4</formula>
      <formula>5</formula>
    </cfRule>
  </conditionalFormatting>
  <conditionalFormatting sqref="L19:L23">
    <cfRule type="cellIs" dxfId="507" priority="77" stopIfTrue="1" operator="between">
      <formula>0.1</formula>
      <formula>1.9</formula>
    </cfRule>
    <cfRule type="cellIs" dxfId="506" priority="78" stopIfTrue="1" operator="between">
      <formula>3</formula>
      <formula>3.9</formula>
    </cfRule>
    <cfRule type="cellIs" dxfId="505" priority="79" stopIfTrue="1" operator="between">
      <formula>4</formula>
      <formula>5</formula>
    </cfRule>
  </conditionalFormatting>
  <conditionalFormatting sqref="L21:L24">
    <cfRule type="cellIs" dxfId="504" priority="74" stopIfTrue="1" operator="between">
      <formula>0.1</formula>
      <formula>1.9</formula>
    </cfRule>
    <cfRule type="cellIs" dxfId="503" priority="75" stopIfTrue="1" operator="between">
      <formula>3</formula>
      <formula>3.9</formula>
    </cfRule>
    <cfRule type="cellIs" dxfId="502" priority="76" stopIfTrue="1" operator="between">
      <formula>4</formula>
      <formula>5</formula>
    </cfRule>
  </conditionalFormatting>
  <conditionalFormatting sqref="K19:K23">
    <cfRule type="cellIs" dxfId="501" priority="64" stopIfTrue="1" operator="between">
      <formula>0.1</formula>
      <formula>1.9</formula>
    </cfRule>
    <cfRule type="cellIs" dxfId="500" priority="65" stopIfTrue="1" operator="between">
      <formula>3</formula>
      <formula>3.9</formula>
    </cfRule>
    <cfRule type="cellIs" dxfId="499" priority="66" stopIfTrue="1" operator="between">
      <formula>4</formula>
      <formula>5</formula>
    </cfRule>
  </conditionalFormatting>
  <conditionalFormatting sqref="K19:K40">
    <cfRule type="cellIs" dxfId="498" priority="63" operator="equal">
      <formula>""</formula>
    </cfRule>
  </conditionalFormatting>
  <conditionalFormatting sqref="L19:L40">
    <cfRule type="cellIs" dxfId="497" priority="62" operator="equal">
      <formula>""</formula>
    </cfRule>
  </conditionalFormatting>
  <conditionalFormatting sqref="K5:K8">
    <cfRule type="cellIs" dxfId="496" priority="57" operator="greaterThanOrEqual">
      <formula>""</formula>
    </cfRule>
  </conditionalFormatting>
  <conditionalFormatting sqref="L5:L8">
    <cfRule type="cellIs" dxfId="495" priority="54" stopIfTrue="1" operator="between">
      <formula>0.1</formula>
      <formula>1.9</formula>
    </cfRule>
    <cfRule type="cellIs" dxfId="494" priority="55" stopIfTrue="1" operator="between">
      <formula>3</formula>
      <formula>3.9</formula>
    </cfRule>
    <cfRule type="cellIs" dxfId="493" priority="56" stopIfTrue="1" operator="between">
      <formula>4</formula>
      <formula>5</formula>
    </cfRule>
  </conditionalFormatting>
  <conditionalFormatting sqref="J5:J40">
    <cfRule type="cellIs" dxfId="492" priority="43" operator="equal">
      <formula>"*"</formula>
    </cfRule>
    <cfRule type="cellIs" dxfId="491" priority="44" operator="equal">
      <formula>"!"</formula>
    </cfRule>
  </conditionalFormatting>
  <conditionalFormatting sqref="N5:N40">
    <cfRule type="cellIs" dxfId="490" priority="41" operator="equal">
      <formula>"*"</formula>
    </cfRule>
    <cfRule type="cellIs" dxfId="489" priority="42" operator="equal">
      <formula>"!"</formula>
    </cfRule>
  </conditionalFormatting>
  <conditionalFormatting sqref="M5:M40">
    <cfRule type="cellIs" dxfId="488" priority="38" stopIfTrue="1" operator="between">
      <formula>"D-3"</formula>
      <formula>"E-5"</formula>
    </cfRule>
    <cfRule type="cellIs" dxfId="487" priority="39" stopIfTrue="1" operator="between">
      <formula>"B-2"</formula>
      <formula>"B-3"</formula>
    </cfRule>
    <cfRule type="cellIs" dxfId="486" priority="40" stopIfTrue="1" operator="between">
      <formula>"A-1"</formula>
      <formula>"A-2"</formula>
    </cfRule>
  </conditionalFormatting>
  <conditionalFormatting sqref="M5:M40">
    <cfRule type="cellIs" dxfId="485" priority="36" operator="equal">
      <formula>"E-5-"</formula>
    </cfRule>
    <cfRule type="cellIs" dxfId="484" priority="37" operator="equal">
      <formula>"A-1+"</formula>
    </cfRule>
  </conditionalFormatting>
  <conditionalFormatting sqref="C35:C37">
    <cfRule type="expression" dxfId="483" priority="33" stopIfTrue="1">
      <formula>B35=3</formula>
    </cfRule>
    <cfRule type="expression" dxfId="482" priority="34" stopIfTrue="1">
      <formula>B35=4</formula>
    </cfRule>
    <cfRule type="expression" dxfId="481" priority="35" stopIfTrue="1">
      <formula>B35=5</formula>
    </cfRule>
  </conditionalFormatting>
  <conditionalFormatting sqref="C35:C37">
    <cfRule type="cellIs" dxfId="480" priority="29" operator="equal">
      <formula>""</formula>
    </cfRule>
    <cfRule type="expression" dxfId="479" priority="30" stopIfTrue="1">
      <formula>B35=8</formula>
    </cfRule>
    <cfRule type="expression" dxfId="478" priority="31" stopIfTrue="1">
      <formula>B35=7</formula>
    </cfRule>
    <cfRule type="expression" dxfId="477" priority="32" stopIfTrue="1">
      <formula>B35=6</formula>
    </cfRule>
  </conditionalFormatting>
  <conditionalFormatting sqref="C33:C34">
    <cfRule type="expression" dxfId="476" priority="26" stopIfTrue="1">
      <formula>B33=3</formula>
    </cfRule>
    <cfRule type="expression" dxfId="475" priority="27" stopIfTrue="1">
      <formula>B33=4</formula>
    </cfRule>
    <cfRule type="expression" dxfId="474" priority="28" stopIfTrue="1">
      <formula>B33=5</formula>
    </cfRule>
  </conditionalFormatting>
  <conditionalFormatting sqref="C33:C34">
    <cfRule type="cellIs" dxfId="473" priority="22" operator="equal">
      <formula>""</formula>
    </cfRule>
    <cfRule type="expression" dxfId="472" priority="23" stopIfTrue="1">
      <formula>B33=8</formula>
    </cfRule>
    <cfRule type="expression" dxfId="471" priority="24" stopIfTrue="1">
      <formula>B33=7</formula>
    </cfRule>
    <cfRule type="expression" dxfId="470" priority="25" stopIfTrue="1">
      <formula>B33=6</formula>
    </cfRule>
  </conditionalFormatting>
  <conditionalFormatting sqref="C29:C32">
    <cfRule type="expression" dxfId="469" priority="19" stopIfTrue="1">
      <formula>B29=3</formula>
    </cfRule>
    <cfRule type="expression" dxfId="468" priority="20" stopIfTrue="1">
      <formula>B29=4</formula>
    </cfRule>
    <cfRule type="expression" dxfId="467" priority="21" stopIfTrue="1">
      <formula>B29=5</formula>
    </cfRule>
  </conditionalFormatting>
  <conditionalFormatting sqref="C29:C32">
    <cfRule type="cellIs" dxfId="466" priority="15" operator="equal">
      <formula>""</formula>
    </cfRule>
    <cfRule type="expression" dxfId="465" priority="16" stopIfTrue="1">
      <formula>B29=8</formula>
    </cfRule>
    <cfRule type="expression" dxfId="464" priority="17" stopIfTrue="1">
      <formula>B29=7</formula>
    </cfRule>
    <cfRule type="expression" dxfId="463" priority="18" stopIfTrue="1">
      <formula>B29=6</formula>
    </cfRule>
  </conditionalFormatting>
  <conditionalFormatting sqref="C13:C15">
    <cfRule type="expression" dxfId="462" priority="12" stopIfTrue="1">
      <formula>B13=3</formula>
    </cfRule>
    <cfRule type="expression" dxfId="461" priority="13" stopIfTrue="1">
      <formula>B13=4</formula>
    </cfRule>
    <cfRule type="expression" dxfId="460" priority="14" stopIfTrue="1">
      <formula>B13=5</formula>
    </cfRule>
  </conditionalFormatting>
  <conditionalFormatting sqref="C13:C15">
    <cfRule type="cellIs" dxfId="459" priority="8" operator="equal">
      <formula>""</formula>
    </cfRule>
    <cfRule type="expression" dxfId="458" priority="9" stopIfTrue="1">
      <formula>B13=8</formula>
    </cfRule>
    <cfRule type="expression" dxfId="457" priority="10" stopIfTrue="1">
      <formula>B13=7</formula>
    </cfRule>
    <cfRule type="expression" dxfId="456" priority="11" stopIfTrue="1">
      <formula>B13=6</formula>
    </cfRule>
  </conditionalFormatting>
  <conditionalFormatting sqref="C7:C12">
    <cfRule type="expression" dxfId="455" priority="5" stopIfTrue="1">
      <formula>B7=3</formula>
    </cfRule>
    <cfRule type="expression" dxfId="454" priority="6" stopIfTrue="1">
      <formula>B7=4</formula>
    </cfRule>
    <cfRule type="expression" dxfId="453" priority="7" stopIfTrue="1">
      <formula>B7=5</formula>
    </cfRule>
  </conditionalFormatting>
  <conditionalFormatting sqref="C7:C12">
    <cfRule type="cellIs" dxfId="452" priority="1" operator="equal">
      <formula>""</formula>
    </cfRule>
    <cfRule type="expression" dxfId="451" priority="2" stopIfTrue="1">
      <formula>B7=8</formula>
    </cfRule>
    <cfRule type="expression" dxfId="450" priority="3" stopIfTrue="1">
      <formula>B7=7</formula>
    </cfRule>
    <cfRule type="expression" dxfId="449" priority="4" stopIfTrue="1">
      <formula>B7=6</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AA189"/>
  <sheetViews>
    <sheetView showGridLines="0" showRowColHeaders="0" zoomScaleNormal="100" workbookViewId="0"/>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5.7265625" style="90" customWidth="1"/>
    <col min="12" max="12" width="5.7265625" style="88" customWidth="1"/>
    <col min="13" max="13" width="5.7265625" style="83" customWidth="1"/>
    <col min="14" max="14" width="3.1796875" style="83" customWidth="1"/>
    <col min="15" max="15" width="4.81640625" style="83" bestFit="1" customWidth="1"/>
    <col min="16" max="16" width="60.7265625" style="83" customWidth="1"/>
    <col min="17" max="17" width="6.7265625" style="83" customWidth="1"/>
    <col min="18" max="22" width="7.26953125" style="87" customWidth="1"/>
    <col min="23" max="25" width="6.7265625" style="87" customWidth="1"/>
    <col min="26" max="26" width="6.26953125" style="87" customWidth="1"/>
    <col min="27" max="27" width="9.1796875" style="87"/>
    <col min="28" max="16384" width="9.1796875" style="83"/>
  </cols>
  <sheetData>
    <row r="1" spans="1:24" s="79" customFormat="1" ht="30" customHeight="1" thickBot="1" x14ac:dyDescent="0.65">
      <c r="B1" s="80"/>
      <c r="C1" s="960" t="s">
        <v>126</v>
      </c>
      <c r="D1" s="961"/>
      <c r="E1" s="961"/>
      <c r="F1" s="961"/>
      <c r="G1" s="961"/>
      <c r="H1" s="961"/>
      <c r="I1" s="961"/>
      <c r="J1" s="961"/>
      <c r="K1" s="938" t="str">
        <f>BEGINBLAD!$I$3</f>
        <v>groep 7</v>
      </c>
      <c r="L1" s="938"/>
      <c r="M1" s="938"/>
      <c r="N1" s="938"/>
      <c r="O1" s="938"/>
      <c r="P1" s="81"/>
      <c r="X1" s="82"/>
    </row>
    <row r="2" spans="1:24" ht="24" customHeight="1" x14ac:dyDescent="0.25">
      <c r="C2" s="953" t="str">
        <f>BEGINBLAD!$S$3</f>
        <v>mei.</v>
      </c>
      <c r="D2" s="953"/>
      <c r="E2" s="242"/>
      <c r="F2" s="243" t="str">
        <f>BEGINBLAD!$T$3</f>
        <v>okt.</v>
      </c>
      <c r="G2" s="954">
        <f>BEGINBLAD!$P$3</f>
        <v>2020</v>
      </c>
      <c r="H2" s="954"/>
      <c r="I2" s="954"/>
      <c r="M2" s="85"/>
      <c r="N2" s="86"/>
      <c r="O2" s="86"/>
    </row>
    <row r="3" spans="1:24" ht="13" thickBot="1" x14ac:dyDescent="0.3">
      <c r="M3" s="91"/>
      <c r="N3" s="91"/>
      <c r="O3" s="91"/>
      <c r="P3" s="91"/>
    </row>
    <row r="4" spans="1:24" ht="140.15" customHeight="1" x14ac:dyDescent="0.25">
      <c r="C4" s="92"/>
      <c r="D4" s="93"/>
      <c r="E4" s="94"/>
      <c r="F4" s="95" t="s">
        <v>5</v>
      </c>
      <c r="G4" s="96" t="s">
        <v>144</v>
      </c>
      <c r="H4" s="97" t="s">
        <v>130</v>
      </c>
      <c r="I4" s="98" t="s">
        <v>15</v>
      </c>
      <c r="J4" s="237"/>
      <c r="K4" s="96" t="s">
        <v>144</v>
      </c>
      <c r="L4" s="100" t="s">
        <v>131</v>
      </c>
      <c r="M4" s="98" t="s">
        <v>15</v>
      </c>
      <c r="N4" s="237"/>
      <c r="O4" s="102"/>
    </row>
    <row r="5" spans="1:24" ht="19.5" customHeight="1" x14ac:dyDescent="0.25">
      <c r="A5" s="103"/>
      <c r="B5" s="913" t="s">
        <v>2</v>
      </c>
      <c r="C5" s="104" t="s">
        <v>68</v>
      </c>
      <c r="D5" s="105">
        <v>0</v>
      </c>
      <c r="E5" s="106">
        <v>1</v>
      </c>
      <c r="F5" s="175" t="str">
        <f>BEGINBLAD!C5</f>
        <v>leerling 1</v>
      </c>
      <c r="G5" s="108">
        <f>'NIVEAU WAARDE - 1e toetsperiode'!F9</f>
        <v>4.7</v>
      </c>
      <c r="H5" s="109">
        <f>'NIVEAU WAARDE - 2e toetsperiode'!F9</f>
        <v>2.8</v>
      </c>
      <c r="I5" s="110" t="str">
        <f>IF(H5=0,"",IF(H5&gt;4.5,"A-1+",IF(H5&gt;4,"A-1",IF(H5&gt;=4,"A-2",IF(H5&gt;3.4,"B-2",IF(H5&gt;=3,"B-3",IF(H5&gt;2.5,"C-3",IF(H5&gt;=2,"C-4",IF(H5&gt;1.6,"D-4",IF(H5&gt;=1,"D-5",IF(H5&gt;0.5,"E-5",IF(H5&gt;=0,"E-5-"))))))))))))</f>
        <v>C-3</v>
      </c>
      <c r="J5" s="238" t="str">
        <f>IF(H5=0,"",IF(G5-H5&gt;0.5,"!",IF(H5-G5&gt;0.5,"*",IF(H5-G5&lt;=0.5,""))))</f>
        <v>!</v>
      </c>
      <c r="K5" s="246"/>
      <c r="L5" s="111"/>
      <c r="M5" s="110" t="str">
        <f>IF(L5=0,"",IF(L5&gt;4.5,"A-1+",IF(L5&gt;4,"A-1",IF(L5&gt;=4,"A-2",IF(L5&gt;3.4,"B-2",IF(L5&gt;=3,"B-3",IF(L5&gt;2.5,"C-3",IF(L5&gt;=2,"C-4",IF(L5&gt;1.6,"D-4",IF(L5&gt;=1,"D-5",IF(L5&gt;0.5,"E-5",IF(L5&gt;=0,"E-5-"))))))))))))</f>
        <v/>
      </c>
      <c r="N5" s="238" t="str">
        <f>IF(L5=0,"",IF(K5-L5&gt;0.5,"!",IF(L5-K5&gt;0.5,"*",IF(L5-K5&lt;=0.5,""))))</f>
        <v/>
      </c>
      <c r="O5" s="113"/>
    </row>
    <row r="6" spans="1:24" ht="19.5" customHeight="1" x14ac:dyDescent="0.25">
      <c r="A6" s="103"/>
      <c r="B6" s="913"/>
      <c r="C6" s="114" t="s">
        <v>69</v>
      </c>
      <c r="D6" s="105">
        <v>0</v>
      </c>
      <c r="E6" s="106">
        <v>2</v>
      </c>
      <c r="F6" s="107" t="str">
        <f>BEGINBLAD!C6</f>
        <v>leerling 2</v>
      </c>
      <c r="G6" s="108">
        <f>'NIVEAU WAARDE - 1e toetsperiode'!F10</f>
        <v>3.6</v>
      </c>
      <c r="H6" s="109">
        <f>'NIVEAU WAARDE - 2e toetsperiode'!F10</f>
        <v>3.1</v>
      </c>
      <c r="I6" s="110" t="str">
        <f t="shared" ref="I6:I40" si="0">IF(H6=0,"",IF(H6&gt;4.5,"A-1+",IF(H6&gt;4,"A-1",IF(H6&gt;=4,"A-2",IF(H6&gt;3.4,"B-2",IF(H6&gt;=3,"B-3",IF(H6&gt;2.5,"C-3",IF(H6&gt;=2,"C-4",IF(H6&gt;1.6,"D-4",IF(H6&gt;=1,"D-5",IF(H6&gt;0.5,"E-5",IF(H6&gt;=0,"E-5-"))))))))))))</f>
        <v>B-3</v>
      </c>
      <c r="J6" s="238" t="str">
        <f t="shared" ref="J6:J40" si="1">IF(H6=0,"",IF(G6-H6&gt;0.5,"!",IF(H6-G6&gt;0.5,"*",IF(H6-G6&lt;=0.5,""))))</f>
        <v/>
      </c>
      <c r="K6" s="246"/>
      <c r="L6" s="111"/>
      <c r="M6" s="110" t="str">
        <f t="shared" ref="M6:M40" si="2">IF(L6=0,"",IF(L6&gt;4.5,"A-1+",IF(L6&gt;4,"A-1",IF(L6&gt;=4,"A-2",IF(L6&gt;3.4,"B-2",IF(L6&gt;=3,"B-3",IF(L6&gt;2.5,"C-3",IF(L6&gt;=2,"C-4",IF(L6&gt;1.6,"D-4",IF(L6&gt;=1,"D-5",IF(L6&gt;0.5,"E-5",IF(L6&gt;=0,"E-5-"))))))))))))</f>
        <v/>
      </c>
      <c r="N6" s="238" t="str">
        <f t="shared" ref="N6:N40" si="3">IF(L6=0,"",IF(K6-L6&gt;0.5,"!",IF(L6-K6&gt;0.5,"*",IF(L6-K6&lt;=0.5,""))))</f>
        <v/>
      </c>
      <c r="O6" s="113"/>
      <c r="R6" s="158"/>
      <c r="S6" s="158"/>
      <c r="T6" s="158"/>
      <c r="U6" s="158"/>
      <c r="V6" s="158"/>
    </row>
    <row r="7" spans="1:24" ht="19.5" customHeight="1" x14ac:dyDescent="0.25">
      <c r="A7" s="115"/>
      <c r="B7" s="369"/>
      <c r="C7" s="371"/>
      <c r="D7" s="105">
        <v>0</v>
      </c>
      <c r="E7" s="106">
        <v>3</v>
      </c>
      <c r="F7" s="107" t="str">
        <f>BEGINBLAD!C7</f>
        <v>leerling 3</v>
      </c>
      <c r="G7" s="108">
        <f>'NIVEAU WAARDE - 1e toetsperiode'!F11</f>
        <v>4</v>
      </c>
      <c r="H7" s="109">
        <f>'NIVEAU WAARDE - 2e toetsperiode'!F11</f>
        <v>4.4000000000000004</v>
      </c>
      <c r="I7" s="110" t="str">
        <f t="shared" si="0"/>
        <v>A-1</v>
      </c>
      <c r="J7" s="238" t="str">
        <f t="shared" si="1"/>
        <v/>
      </c>
      <c r="K7" s="246"/>
      <c r="L7" s="111"/>
      <c r="M7" s="110" t="str">
        <f t="shared" si="2"/>
        <v/>
      </c>
      <c r="N7" s="238" t="str">
        <f t="shared" si="3"/>
        <v/>
      </c>
      <c r="O7" s="113"/>
      <c r="R7" s="159"/>
      <c r="S7" s="159"/>
      <c r="T7" s="159"/>
      <c r="U7" s="159"/>
      <c r="V7" s="159"/>
    </row>
    <row r="8" spans="1:24" ht="19.5" customHeight="1" x14ac:dyDescent="0.25">
      <c r="A8" s="115"/>
      <c r="B8" s="369"/>
      <c r="C8" s="371"/>
      <c r="D8" s="118">
        <v>0</v>
      </c>
      <c r="E8" s="106">
        <v>4</v>
      </c>
      <c r="F8" s="107" t="str">
        <f>BEGINBLAD!C8</f>
        <v>leerling 4</v>
      </c>
      <c r="G8" s="108">
        <f>'NIVEAU WAARDE - 1e toetsperiode'!F12</f>
        <v>4.7</v>
      </c>
      <c r="H8" s="109">
        <f>'NIVEAU WAARDE - 2e toetsperiode'!F12</f>
        <v>3.9</v>
      </c>
      <c r="I8" s="110" t="str">
        <f t="shared" si="0"/>
        <v>B-2</v>
      </c>
      <c r="J8" s="238" t="str">
        <f t="shared" si="1"/>
        <v>!</v>
      </c>
      <c r="K8" s="246"/>
      <c r="L8" s="119"/>
      <c r="M8" s="110" t="str">
        <f t="shared" si="2"/>
        <v/>
      </c>
      <c r="N8" s="238" t="str">
        <f t="shared" si="3"/>
        <v/>
      </c>
      <c r="O8" s="120"/>
      <c r="R8" s="159"/>
      <c r="S8" s="159"/>
      <c r="T8" s="159"/>
      <c r="U8" s="159"/>
      <c r="V8" s="159"/>
    </row>
    <row r="9" spans="1:24" ht="19.5" customHeight="1" x14ac:dyDescent="0.25">
      <c r="A9" s="115"/>
      <c r="B9" s="369"/>
      <c r="C9" s="371"/>
      <c r="D9" s="121">
        <v>0</v>
      </c>
      <c r="E9" s="106">
        <v>5</v>
      </c>
      <c r="F9" s="107" t="str">
        <f>BEGINBLAD!C9</f>
        <v>leerling 5</v>
      </c>
      <c r="G9" s="108">
        <f>'NIVEAU WAARDE - 1e toetsperiode'!F13</f>
        <v>5</v>
      </c>
      <c r="H9" s="109">
        <f>'NIVEAU WAARDE - 2e toetsperiode'!F13</f>
        <v>3.6</v>
      </c>
      <c r="I9" s="110" t="str">
        <f t="shared" si="0"/>
        <v>B-2</v>
      </c>
      <c r="J9" s="238" t="str">
        <f t="shared" si="1"/>
        <v>!</v>
      </c>
      <c r="K9" s="246"/>
      <c r="L9" s="122"/>
      <c r="M9" s="110" t="str">
        <f t="shared" si="2"/>
        <v/>
      </c>
      <c r="N9" s="238" t="str">
        <f t="shared" si="3"/>
        <v/>
      </c>
      <c r="O9" s="123"/>
      <c r="R9" s="159"/>
      <c r="S9" s="159"/>
      <c r="T9" s="159"/>
      <c r="U9" s="159"/>
      <c r="V9" s="159"/>
    </row>
    <row r="10" spans="1:24" ht="19.5" customHeight="1" x14ac:dyDescent="0.25">
      <c r="A10" s="115"/>
      <c r="B10" s="369"/>
      <c r="C10" s="371"/>
      <c r="D10" s="124">
        <v>0</v>
      </c>
      <c r="E10" s="106">
        <v>6</v>
      </c>
      <c r="F10" s="107" t="str">
        <f>BEGINBLAD!C10</f>
        <v>leerling 6</v>
      </c>
      <c r="G10" s="108">
        <f>'NIVEAU WAARDE - 1e toetsperiode'!F14</f>
        <v>1</v>
      </c>
      <c r="H10" s="109">
        <f>'NIVEAU WAARDE - 2e toetsperiode'!F14</f>
        <v>2.1</v>
      </c>
      <c r="I10" s="110" t="str">
        <f t="shared" si="0"/>
        <v>C-4</v>
      </c>
      <c r="J10" s="238" t="str">
        <f t="shared" si="1"/>
        <v>*</v>
      </c>
      <c r="K10" s="246"/>
      <c r="L10" s="122"/>
      <c r="M10" s="110" t="str">
        <f t="shared" si="2"/>
        <v/>
      </c>
      <c r="N10" s="238" t="str">
        <f t="shared" si="3"/>
        <v/>
      </c>
      <c r="O10" s="125"/>
      <c r="R10" s="159"/>
      <c r="S10" s="159"/>
      <c r="T10" s="159"/>
      <c r="U10" s="159"/>
      <c r="V10" s="159"/>
    </row>
    <row r="11" spans="1:24" ht="19.5" customHeight="1" x14ac:dyDescent="0.25">
      <c r="A11" s="115"/>
      <c r="B11" s="369"/>
      <c r="C11" s="371"/>
      <c r="D11" s="124">
        <v>0</v>
      </c>
      <c r="E11" s="106">
        <v>7</v>
      </c>
      <c r="F11" s="107" t="str">
        <f>BEGINBLAD!C11</f>
        <v>leerling 7</v>
      </c>
      <c r="G11" s="108">
        <f>'NIVEAU WAARDE - 1e toetsperiode'!F15</f>
        <v>2</v>
      </c>
      <c r="H11" s="109">
        <f>'NIVEAU WAARDE - 2e toetsperiode'!F15</f>
        <v>3.3</v>
      </c>
      <c r="I11" s="110" t="str">
        <f t="shared" si="0"/>
        <v>B-3</v>
      </c>
      <c r="J11" s="238" t="str">
        <f t="shared" si="1"/>
        <v>*</v>
      </c>
      <c r="K11" s="246"/>
      <c r="L11" s="122"/>
      <c r="M11" s="110" t="str">
        <f t="shared" si="2"/>
        <v/>
      </c>
      <c r="N11" s="238" t="str">
        <f t="shared" si="3"/>
        <v/>
      </c>
      <c r="O11" s="91"/>
      <c r="R11" s="159"/>
      <c r="S11" s="159"/>
      <c r="T11" s="159"/>
      <c r="U11" s="159"/>
      <c r="V11" s="159"/>
    </row>
    <row r="12" spans="1:24" ht="19.5" customHeight="1" x14ac:dyDescent="0.25">
      <c r="A12" s="115"/>
      <c r="B12" s="369"/>
      <c r="C12" s="371"/>
      <c r="D12" s="105">
        <v>0</v>
      </c>
      <c r="E12" s="106">
        <v>8</v>
      </c>
      <c r="F12" s="107" t="str">
        <f>BEGINBLAD!C12</f>
        <v>leerling 8</v>
      </c>
      <c r="G12" s="108">
        <f>'NIVEAU WAARDE - 1e toetsperiode'!F16</f>
        <v>4.7</v>
      </c>
      <c r="H12" s="109">
        <f>'NIVEAU WAARDE - 2e toetsperiode'!F16</f>
        <v>3.6</v>
      </c>
      <c r="I12" s="110" t="str">
        <f t="shared" si="0"/>
        <v>B-2</v>
      </c>
      <c r="J12" s="238" t="str">
        <f t="shared" si="1"/>
        <v>!</v>
      </c>
      <c r="K12" s="246"/>
      <c r="L12" s="122"/>
      <c r="M12" s="110" t="str">
        <f t="shared" si="2"/>
        <v/>
      </c>
      <c r="N12" s="238" t="str">
        <f t="shared" si="3"/>
        <v/>
      </c>
      <c r="O12" s="102"/>
      <c r="R12" s="159"/>
      <c r="S12" s="159"/>
      <c r="T12" s="159"/>
      <c r="U12" s="159"/>
      <c r="V12" s="159"/>
    </row>
    <row r="13" spans="1:24" ht="19.5" customHeight="1" x14ac:dyDescent="0.25">
      <c r="A13" s="115"/>
      <c r="B13" s="369"/>
      <c r="C13" s="371"/>
      <c r="D13" s="105">
        <v>0</v>
      </c>
      <c r="E13" s="106">
        <v>9</v>
      </c>
      <c r="F13" s="107" t="str">
        <f>BEGINBLAD!C13</f>
        <v>leerling 9</v>
      </c>
      <c r="G13" s="108">
        <f>'NIVEAU WAARDE - 1e toetsperiode'!F17</f>
        <v>3.2</v>
      </c>
      <c r="H13" s="109">
        <f>'NIVEAU WAARDE - 2e toetsperiode'!F17</f>
        <v>1.2</v>
      </c>
      <c r="I13" s="110" t="str">
        <f t="shared" si="0"/>
        <v>D-5</v>
      </c>
      <c r="J13" s="238" t="str">
        <f t="shared" si="1"/>
        <v>!</v>
      </c>
      <c r="K13" s="246"/>
      <c r="L13" s="122"/>
      <c r="M13" s="110" t="str">
        <f t="shared" si="2"/>
        <v/>
      </c>
      <c r="N13" s="238" t="str">
        <f t="shared" si="3"/>
        <v/>
      </c>
      <c r="O13" s="113"/>
      <c r="R13" s="160"/>
      <c r="S13" s="160"/>
      <c r="T13" s="160"/>
      <c r="U13" s="160"/>
      <c r="V13" s="160"/>
    </row>
    <row r="14" spans="1:24" ht="19.5" customHeight="1" thickBot="1" x14ac:dyDescent="0.3">
      <c r="A14" s="115"/>
      <c r="B14" s="369"/>
      <c r="C14" s="371"/>
      <c r="D14" s="105">
        <v>0</v>
      </c>
      <c r="E14" s="106">
        <v>10</v>
      </c>
      <c r="F14" s="107" t="str">
        <f>BEGINBLAD!C14</f>
        <v>leerling 10</v>
      </c>
      <c r="G14" s="108">
        <f>'NIVEAU WAARDE - 1e toetsperiode'!F18</f>
        <v>4.7</v>
      </c>
      <c r="H14" s="109">
        <f>'NIVEAU WAARDE - 2e toetsperiode'!F18</f>
        <v>3.6</v>
      </c>
      <c r="I14" s="110" t="str">
        <f t="shared" si="0"/>
        <v>B-2</v>
      </c>
      <c r="J14" s="238" t="str">
        <f t="shared" si="1"/>
        <v>!</v>
      </c>
      <c r="K14" s="246"/>
      <c r="L14" s="122"/>
      <c r="M14" s="110" t="str">
        <f t="shared" si="2"/>
        <v/>
      </c>
      <c r="N14" s="238" t="str">
        <f t="shared" si="3"/>
        <v/>
      </c>
      <c r="O14" s="120"/>
      <c r="P14" s="126" t="s">
        <v>13</v>
      </c>
      <c r="R14" s="160"/>
      <c r="S14" s="160"/>
      <c r="T14" s="160"/>
      <c r="U14" s="160"/>
      <c r="V14" s="160"/>
    </row>
    <row r="15" spans="1:24" ht="19.5" customHeight="1" x14ac:dyDescent="0.25">
      <c r="A15" s="115"/>
      <c r="B15" s="369"/>
      <c r="C15" s="371"/>
      <c r="D15" s="105">
        <v>0</v>
      </c>
      <c r="E15" s="106">
        <v>11</v>
      </c>
      <c r="F15" s="107" t="str">
        <f>BEGINBLAD!C15</f>
        <v>leerling 11</v>
      </c>
      <c r="G15" s="108">
        <f>'NIVEAU WAARDE - 1e toetsperiode'!F19</f>
        <v>3.2</v>
      </c>
      <c r="H15" s="109">
        <f>'NIVEAU WAARDE - 2e toetsperiode'!F19</f>
        <v>2.2999999999999998</v>
      </c>
      <c r="I15" s="110" t="str">
        <f t="shared" si="0"/>
        <v>C-4</v>
      </c>
      <c r="J15" s="238" t="str">
        <f t="shared" si="1"/>
        <v>!</v>
      </c>
      <c r="K15" s="246"/>
      <c r="L15" s="122"/>
      <c r="M15" s="110" t="str">
        <f t="shared" si="2"/>
        <v/>
      </c>
      <c r="N15" s="238" t="str">
        <f t="shared" si="3"/>
        <v/>
      </c>
      <c r="O15" s="957" t="s">
        <v>70</v>
      </c>
      <c r="P15" s="962" t="e">
        <f>#REF!</f>
        <v>#REF!</v>
      </c>
      <c r="R15" s="160"/>
      <c r="S15" s="160"/>
      <c r="T15" s="160"/>
      <c r="U15" s="160"/>
      <c r="V15" s="160"/>
    </row>
    <row r="16" spans="1:24" ht="19.5" customHeight="1" x14ac:dyDescent="0.25">
      <c r="A16" s="115"/>
      <c r="B16" s="369"/>
      <c r="C16" s="371"/>
      <c r="D16" s="105">
        <v>0</v>
      </c>
      <c r="E16" s="106">
        <v>12</v>
      </c>
      <c r="F16" s="107" t="str">
        <f>BEGINBLAD!C16</f>
        <v>leerling 12</v>
      </c>
      <c r="G16" s="108">
        <f>'NIVEAU WAARDE - 1e toetsperiode'!F20</f>
        <v>2.5</v>
      </c>
      <c r="H16" s="109">
        <f>'NIVEAU WAARDE - 2e toetsperiode'!F20</f>
        <v>3.3</v>
      </c>
      <c r="I16" s="110" t="str">
        <f t="shared" si="0"/>
        <v>B-3</v>
      </c>
      <c r="J16" s="238" t="str">
        <f t="shared" si="1"/>
        <v>*</v>
      </c>
      <c r="K16" s="246"/>
      <c r="L16" s="122"/>
      <c r="M16" s="110" t="str">
        <f t="shared" si="2"/>
        <v/>
      </c>
      <c r="N16" s="238" t="str">
        <f t="shared" si="3"/>
        <v/>
      </c>
      <c r="O16" s="958"/>
      <c r="P16" s="963"/>
      <c r="R16" s="160"/>
      <c r="S16" s="160"/>
      <c r="T16" s="160"/>
      <c r="U16" s="160"/>
      <c r="V16" s="160"/>
    </row>
    <row r="17" spans="1:24" ht="19.5" customHeight="1" x14ac:dyDescent="0.25">
      <c r="A17" s="115"/>
      <c r="B17" s="116"/>
      <c r="C17" s="117"/>
      <c r="D17" s="118">
        <v>0</v>
      </c>
      <c r="E17" s="106">
        <v>13</v>
      </c>
      <c r="F17" s="107" t="str">
        <f>BEGINBLAD!C17</f>
        <v>leerling 13</v>
      </c>
      <c r="G17" s="108">
        <f>'NIVEAU WAARDE - 1e toetsperiode'!F21</f>
        <v>3.6</v>
      </c>
      <c r="H17" s="109">
        <f>'NIVEAU WAARDE - 2e toetsperiode'!F21</f>
        <v>3.6</v>
      </c>
      <c r="I17" s="110" t="str">
        <f t="shared" si="0"/>
        <v>B-2</v>
      </c>
      <c r="J17" s="238" t="str">
        <f t="shared" si="1"/>
        <v/>
      </c>
      <c r="K17" s="246"/>
      <c r="L17" s="122"/>
      <c r="M17" s="110" t="str">
        <f t="shared" si="2"/>
        <v/>
      </c>
      <c r="N17" s="238" t="str">
        <f t="shared" si="3"/>
        <v/>
      </c>
      <c r="O17" s="966" t="s">
        <v>71</v>
      </c>
      <c r="P17" s="964" t="e">
        <f>#REF!</f>
        <v>#REF!</v>
      </c>
      <c r="R17" s="133"/>
      <c r="S17" s="133"/>
      <c r="T17" s="133"/>
      <c r="U17" s="133"/>
      <c r="V17" s="133"/>
    </row>
    <row r="18" spans="1:24" ht="19.5" customHeight="1" x14ac:dyDescent="0.25">
      <c r="A18" s="115"/>
      <c r="B18" s="116"/>
      <c r="C18" s="117"/>
      <c r="D18" s="124">
        <v>0</v>
      </c>
      <c r="E18" s="106">
        <v>14</v>
      </c>
      <c r="F18" s="107" t="str">
        <f>BEGINBLAD!C18</f>
        <v>leerling 14</v>
      </c>
      <c r="G18" s="108">
        <f>'NIVEAU WAARDE - 1e toetsperiode'!F22</f>
        <v>4.7</v>
      </c>
      <c r="H18" s="109">
        <f>'NIVEAU WAARDE - 2e toetsperiode'!F22</f>
        <v>2.8</v>
      </c>
      <c r="I18" s="110" t="str">
        <f t="shared" si="0"/>
        <v>C-3</v>
      </c>
      <c r="J18" s="238" t="str">
        <f t="shared" si="1"/>
        <v>!</v>
      </c>
      <c r="K18" s="246"/>
      <c r="L18" s="122"/>
      <c r="M18" s="110" t="str">
        <f t="shared" si="2"/>
        <v/>
      </c>
      <c r="N18" s="238" t="str">
        <f t="shared" si="3"/>
        <v/>
      </c>
      <c r="O18" s="966"/>
      <c r="P18" s="964"/>
      <c r="Q18" s="103"/>
      <c r="R18" s="127"/>
      <c r="S18" s="127"/>
      <c r="T18" s="127"/>
      <c r="U18" s="127"/>
      <c r="V18" s="127"/>
      <c r="W18" s="127"/>
    </row>
    <row r="19" spans="1:24" ht="19.5" customHeight="1" x14ac:dyDescent="0.3">
      <c r="D19" s="124">
        <v>0</v>
      </c>
      <c r="E19" s="106">
        <v>15</v>
      </c>
      <c r="F19" s="107" t="str">
        <f>BEGINBLAD!C19</f>
        <v>leerling 15</v>
      </c>
      <c r="G19" s="108">
        <f>'NIVEAU WAARDE - 1e toetsperiode'!F23</f>
        <v>3.6</v>
      </c>
      <c r="H19" s="109">
        <f>'NIVEAU WAARDE - 2e toetsperiode'!F23</f>
        <v>2.8</v>
      </c>
      <c r="I19" s="110" t="str">
        <f t="shared" si="0"/>
        <v>C-3</v>
      </c>
      <c r="J19" s="238" t="str">
        <f t="shared" si="1"/>
        <v>!</v>
      </c>
      <c r="K19" s="128"/>
      <c r="L19" s="119"/>
      <c r="M19" s="110" t="str">
        <f t="shared" si="2"/>
        <v/>
      </c>
      <c r="N19" s="238" t="str">
        <f t="shared" si="3"/>
        <v/>
      </c>
      <c r="O19" s="966"/>
      <c r="P19" s="964"/>
      <c r="Q19" s="129"/>
      <c r="R19" s="130"/>
      <c r="S19" s="130"/>
      <c r="T19" s="130"/>
      <c r="U19" s="131"/>
      <c r="V19" s="131"/>
      <c r="W19" s="131"/>
      <c r="X19" s="132"/>
    </row>
    <row r="20" spans="1:24" ht="19.5" customHeight="1" x14ac:dyDescent="0.25">
      <c r="D20" s="124">
        <v>0</v>
      </c>
      <c r="E20" s="106">
        <v>16</v>
      </c>
      <c r="F20" s="107" t="str">
        <f>BEGINBLAD!C20</f>
        <v>leerling 16</v>
      </c>
      <c r="G20" s="108">
        <f>'NIVEAU WAARDE - 1e toetsperiode'!F24</f>
        <v>2.2999999999999998</v>
      </c>
      <c r="H20" s="109">
        <f>'NIVEAU WAARDE - 2e toetsperiode'!F24</f>
        <v>2.1</v>
      </c>
      <c r="I20" s="110" t="str">
        <f t="shared" si="0"/>
        <v>C-4</v>
      </c>
      <c r="J20" s="238" t="str">
        <f t="shared" si="1"/>
        <v/>
      </c>
      <c r="K20" s="128"/>
      <c r="L20" s="119"/>
      <c r="M20" s="110" t="str">
        <f t="shared" si="2"/>
        <v/>
      </c>
      <c r="N20" s="238" t="str">
        <f t="shared" si="3"/>
        <v/>
      </c>
      <c r="O20" s="966"/>
      <c r="P20" s="964"/>
      <c r="Q20" s="129"/>
      <c r="R20" s="133"/>
      <c r="S20" s="133"/>
      <c r="T20" s="133"/>
      <c r="U20" s="133"/>
      <c r="V20" s="133"/>
      <c r="W20" s="133"/>
    </row>
    <row r="21" spans="1:24" ht="19.5" customHeight="1" x14ac:dyDescent="0.25">
      <c r="D21" s="124">
        <v>0</v>
      </c>
      <c r="E21" s="106">
        <v>17</v>
      </c>
      <c r="F21" s="107" t="str">
        <f>BEGINBLAD!C21</f>
        <v>leerling 17</v>
      </c>
      <c r="G21" s="108">
        <f>'NIVEAU WAARDE - 1e toetsperiode'!F25</f>
        <v>4</v>
      </c>
      <c r="H21" s="109">
        <f>'NIVEAU WAARDE - 2e toetsperiode'!F25</f>
        <v>3.1</v>
      </c>
      <c r="I21" s="110" t="str">
        <f t="shared" si="0"/>
        <v>B-3</v>
      </c>
      <c r="J21" s="238" t="str">
        <f t="shared" si="1"/>
        <v>!</v>
      </c>
      <c r="K21" s="128"/>
      <c r="L21" s="134"/>
      <c r="M21" s="110" t="str">
        <f t="shared" si="2"/>
        <v/>
      </c>
      <c r="N21" s="238" t="str">
        <f t="shared" si="3"/>
        <v/>
      </c>
      <c r="O21" s="966"/>
      <c r="P21" s="964"/>
      <c r="Q21" s="129"/>
      <c r="R21" s="133"/>
      <c r="S21" s="133"/>
      <c r="T21" s="133"/>
      <c r="U21" s="133"/>
      <c r="V21" s="133"/>
      <c r="W21" s="133"/>
    </row>
    <row r="22" spans="1:24" ht="19.5" customHeight="1" x14ac:dyDescent="0.25">
      <c r="D22" s="124">
        <v>0</v>
      </c>
      <c r="E22" s="106">
        <v>18</v>
      </c>
      <c r="F22" s="107" t="str">
        <f>BEGINBLAD!C22</f>
        <v>leerling 18</v>
      </c>
      <c r="G22" s="108">
        <f>'NIVEAU WAARDE - 1e toetsperiode'!F26</f>
        <v>2.9</v>
      </c>
      <c r="H22" s="109">
        <f>'NIVEAU WAARDE - 2e toetsperiode'!F26</f>
        <v>2.5</v>
      </c>
      <c r="I22" s="110" t="str">
        <f t="shared" si="0"/>
        <v>C-4</v>
      </c>
      <c r="J22" s="238" t="str">
        <f t="shared" si="1"/>
        <v/>
      </c>
      <c r="K22" s="128"/>
      <c r="L22" s="111"/>
      <c r="M22" s="110" t="str">
        <f t="shared" si="2"/>
        <v/>
      </c>
      <c r="N22" s="238" t="str">
        <f t="shared" si="3"/>
        <v/>
      </c>
      <c r="O22" s="966"/>
      <c r="P22" s="964"/>
      <c r="Q22" s="129"/>
      <c r="R22" s="133"/>
      <c r="S22" s="133"/>
      <c r="T22" s="133"/>
      <c r="U22" s="133"/>
      <c r="V22" s="133"/>
      <c r="W22" s="133"/>
    </row>
    <row r="23" spans="1:24" ht="19.5" customHeight="1" x14ac:dyDescent="0.25">
      <c r="B23" s="135"/>
      <c r="C23" s="135"/>
      <c r="D23" s="124">
        <v>0</v>
      </c>
      <c r="E23" s="106">
        <v>19</v>
      </c>
      <c r="F23" s="107" t="str">
        <f>BEGINBLAD!C23</f>
        <v>leerling 19</v>
      </c>
      <c r="G23" s="108">
        <f>'NIVEAU WAARDE - 1e toetsperiode'!F27</f>
        <v>2</v>
      </c>
      <c r="H23" s="109">
        <f>'NIVEAU WAARDE - 2e toetsperiode'!F27</f>
        <v>0.8</v>
      </c>
      <c r="I23" s="110" t="str">
        <f t="shared" si="0"/>
        <v>E-5</v>
      </c>
      <c r="J23" s="238" t="str">
        <f t="shared" si="1"/>
        <v>!</v>
      </c>
      <c r="K23" s="128"/>
      <c r="L23" s="134"/>
      <c r="M23" s="110" t="str">
        <f t="shared" si="2"/>
        <v/>
      </c>
      <c r="N23" s="238" t="str">
        <f t="shared" si="3"/>
        <v/>
      </c>
      <c r="O23" s="966"/>
      <c r="P23" s="964"/>
    </row>
    <row r="24" spans="1:24" ht="19.5" customHeight="1" thickBot="1" x14ac:dyDescent="0.3">
      <c r="B24" s="136"/>
      <c r="C24" s="135"/>
      <c r="D24" s="124">
        <v>0</v>
      </c>
      <c r="E24" s="106">
        <v>20</v>
      </c>
      <c r="F24" s="107" t="str">
        <f>BEGINBLAD!C24</f>
        <v>leerling 20</v>
      </c>
      <c r="G24" s="108">
        <f>'NIVEAU WAARDE - 1e toetsperiode'!F28</f>
        <v>1.7</v>
      </c>
      <c r="H24" s="109">
        <f>'NIVEAU WAARDE - 2e toetsperiode'!F28</f>
        <v>3.6</v>
      </c>
      <c r="I24" s="110" t="str">
        <f t="shared" si="0"/>
        <v>B-2</v>
      </c>
      <c r="J24" s="238" t="str">
        <f t="shared" si="1"/>
        <v>*</v>
      </c>
      <c r="K24" s="137"/>
      <c r="L24" s="134"/>
      <c r="M24" s="110" t="str">
        <f t="shared" si="2"/>
        <v/>
      </c>
      <c r="N24" s="238" t="str">
        <f t="shared" si="3"/>
        <v/>
      </c>
      <c r="O24" s="967"/>
      <c r="P24" s="965"/>
      <c r="Q24" s="129"/>
      <c r="R24" s="133"/>
      <c r="S24" s="133"/>
      <c r="T24" s="133"/>
      <c r="U24" s="133"/>
      <c r="V24" s="133"/>
      <c r="W24" s="133"/>
    </row>
    <row r="25" spans="1:24" ht="19.5" customHeight="1" thickBot="1" x14ac:dyDescent="0.3">
      <c r="B25" s="136"/>
      <c r="C25" s="135"/>
      <c r="D25" s="124">
        <v>0</v>
      </c>
      <c r="E25" s="106">
        <v>21</v>
      </c>
      <c r="F25" s="107" t="str">
        <f>BEGINBLAD!C25</f>
        <v>leerling 21</v>
      </c>
      <c r="G25" s="108">
        <f>'NIVEAU WAARDE - 1e toetsperiode'!F29</f>
        <v>2</v>
      </c>
      <c r="H25" s="109">
        <f>'NIVEAU WAARDE - 2e toetsperiode'!F29</f>
        <v>3.3</v>
      </c>
      <c r="I25" s="110" t="str">
        <f t="shared" si="0"/>
        <v>B-3</v>
      </c>
      <c r="J25" s="238" t="str">
        <f t="shared" si="1"/>
        <v>*</v>
      </c>
      <c r="K25" s="137"/>
      <c r="L25" s="134"/>
      <c r="M25" s="110" t="str">
        <f t="shared" si="2"/>
        <v/>
      </c>
      <c r="N25" s="238" t="str">
        <f t="shared" si="3"/>
        <v/>
      </c>
      <c r="O25" s="120"/>
      <c r="P25" s="126" t="s">
        <v>14</v>
      </c>
      <c r="Q25" s="129"/>
      <c r="R25" s="133"/>
      <c r="S25" s="133"/>
      <c r="T25" s="133"/>
      <c r="U25" s="133"/>
      <c r="V25" s="133"/>
      <c r="W25" s="133"/>
    </row>
    <row r="26" spans="1:24" ht="19.5" customHeight="1" x14ac:dyDescent="0.25">
      <c r="D26" s="124">
        <v>0</v>
      </c>
      <c r="E26" s="106">
        <v>22</v>
      </c>
      <c r="F26" s="107" t="str">
        <f>BEGINBLAD!C26</f>
        <v>leerling 22</v>
      </c>
      <c r="G26" s="108">
        <f>'NIVEAU WAARDE - 1e toetsperiode'!F30</f>
        <v>3.2</v>
      </c>
      <c r="H26" s="109">
        <f>'NIVEAU WAARDE - 2e toetsperiode'!F30</f>
        <v>2.8</v>
      </c>
      <c r="I26" s="110" t="str">
        <f t="shared" si="0"/>
        <v>C-3</v>
      </c>
      <c r="J26" s="238" t="str">
        <f t="shared" si="1"/>
        <v/>
      </c>
      <c r="K26" s="137"/>
      <c r="L26" s="134"/>
      <c r="M26" s="110" t="str">
        <f t="shared" si="2"/>
        <v/>
      </c>
      <c r="N26" s="238" t="str">
        <f t="shared" si="3"/>
        <v/>
      </c>
      <c r="O26" s="957" t="s">
        <v>70</v>
      </c>
      <c r="P26" s="962" t="e">
        <f>#REF!</f>
        <v>#REF!</v>
      </c>
      <c r="Q26" s="103"/>
      <c r="R26" s="127"/>
      <c r="S26" s="127"/>
      <c r="T26" s="127"/>
      <c r="U26" s="127"/>
      <c r="V26" s="127"/>
      <c r="W26" s="127"/>
    </row>
    <row r="27" spans="1:24" s="139" customFormat="1" ht="19.5" customHeight="1" x14ac:dyDescent="0.55000000000000004">
      <c r="A27" s="103"/>
      <c r="B27" s="913" t="s">
        <v>2</v>
      </c>
      <c r="C27" s="104" t="s">
        <v>72</v>
      </c>
      <c r="D27" s="118">
        <v>0</v>
      </c>
      <c r="E27" s="106">
        <v>23</v>
      </c>
      <c r="F27" s="107" t="str">
        <f>BEGINBLAD!C27</f>
        <v>leerling 23</v>
      </c>
      <c r="G27" s="108">
        <f>'NIVEAU WAARDE - 1e toetsperiode'!F31</f>
        <v>4</v>
      </c>
      <c r="H27" s="109">
        <f>'NIVEAU WAARDE - 2e toetsperiode'!F31</f>
        <v>2.8</v>
      </c>
      <c r="I27" s="110" t="str">
        <f t="shared" si="0"/>
        <v>C-3</v>
      </c>
      <c r="J27" s="238" t="str">
        <f t="shared" si="1"/>
        <v>!</v>
      </c>
      <c r="K27" s="137"/>
      <c r="L27" s="134"/>
      <c r="M27" s="110" t="str">
        <f t="shared" si="2"/>
        <v/>
      </c>
      <c r="N27" s="238" t="str">
        <f t="shared" si="3"/>
        <v/>
      </c>
      <c r="O27" s="958"/>
      <c r="P27" s="963"/>
      <c r="Q27" s="138"/>
      <c r="R27" s="138"/>
      <c r="S27" s="138"/>
      <c r="T27" s="138"/>
      <c r="U27" s="138"/>
      <c r="V27" s="138"/>
      <c r="W27" s="138"/>
    </row>
    <row r="28" spans="1:24" ht="19.5" customHeight="1" x14ac:dyDescent="0.6">
      <c r="A28" s="103"/>
      <c r="B28" s="913"/>
      <c r="C28" s="114" t="s">
        <v>69</v>
      </c>
      <c r="D28" s="118">
        <v>0</v>
      </c>
      <c r="E28" s="106">
        <v>24</v>
      </c>
      <c r="F28" s="107" t="str">
        <f>BEGINBLAD!C28</f>
        <v>leerling 24</v>
      </c>
      <c r="G28" s="108">
        <f>'NIVEAU WAARDE - 1e toetsperiode'!F32</f>
        <v>1</v>
      </c>
      <c r="H28" s="109">
        <f>'NIVEAU WAARDE - 2e toetsperiode'!F32</f>
        <v>1.6</v>
      </c>
      <c r="I28" s="110" t="str">
        <f t="shared" si="0"/>
        <v>D-5</v>
      </c>
      <c r="J28" s="238" t="str">
        <f t="shared" si="1"/>
        <v>*</v>
      </c>
      <c r="K28" s="137"/>
      <c r="L28" s="134"/>
      <c r="M28" s="110" t="str">
        <f t="shared" si="2"/>
        <v/>
      </c>
      <c r="N28" s="238" t="str">
        <f t="shared" si="3"/>
        <v/>
      </c>
      <c r="O28" s="958" t="s">
        <v>71</v>
      </c>
      <c r="P28" s="968" t="e">
        <f>#REF!</f>
        <v>#REF!</v>
      </c>
      <c r="Q28" s="91"/>
      <c r="R28" s="140"/>
      <c r="S28" s="102"/>
      <c r="T28" s="102"/>
      <c r="U28" s="102"/>
      <c r="V28" s="102"/>
      <c r="W28" s="102"/>
    </row>
    <row r="29" spans="1:24" ht="19.5" customHeight="1" x14ac:dyDescent="0.25">
      <c r="A29" s="115"/>
      <c r="B29" s="116"/>
      <c r="C29" s="117"/>
      <c r="D29" s="105">
        <v>0</v>
      </c>
      <c r="E29" s="106">
        <v>25</v>
      </c>
      <c r="F29" s="107" t="str">
        <f>BEGINBLAD!C29</f>
        <v>leerling 25</v>
      </c>
      <c r="G29" s="108">
        <f>'NIVEAU WAARDE - 1e toetsperiode'!F33</f>
        <v>4.4000000000000004</v>
      </c>
      <c r="H29" s="109">
        <f>'NIVEAU WAARDE - 2e toetsperiode'!F33</f>
        <v>4.7</v>
      </c>
      <c r="I29" s="110" t="str">
        <f t="shared" si="0"/>
        <v>A-1+</v>
      </c>
      <c r="J29" s="238" t="str">
        <f t="shared" si="1"/>
        <v/>
      </c>
      <c r="K29" s="137"/>
      <c r="L29" s="134"/>
      <c r="M29" s="110" t="str">
        <f t="shared" si="2"/>
        <v/>
      </c>
      <c r="N29" s="238" t="str">
        <f t="shared" si="3"/>
        <v/>
      </c>
      <c r="O29" s="958"/>
      <c r="P29" s="968"/>
      <c r="Q29" s="141"/>
      <c r="R29" s="130"/>
      <c r="S29" s="130"/>
      <c r="T29" s="130"/>
      <c r="U29" s="130"/>
      <c r="V29" s="130"/>
      <c r="W29" s="130"/>
    </row>
    <row r="30" spans="1:24" ht="19.5" customHeight="1" x14ac:dyDescent="0.25">
      <c r="A30" s="115"/>
      <c r="B30" s="116"/>
      <c r="C30" s="117"/>
      <c r="D30" s="105">
        <v>0</v>
      </c>
      <c r="E30" s="106">
        <v>26</v>
      </c>
      <c r="F30" s="107" t="str">
        <f>BEGINBLAD!C30</f>
        <v>leerling 26</v>
      </c>
      <c r="G30" s="108">
        <f>'NIVEAU WAARDE - 1e toetsperiode'!F34</f>
        <v>0.6</v>
      </c>
      <c r="H30" s="109">
        <f>'NIVEAU WAARDE - 2e toetsperiode'!F34</f>
        <v>2.2999999999999998</v>
      </c>
      <c r="I30" s="110" t="str">
        <f t="shared" si="0"/>
        <v>C-4</v>
      </c>
      <c r="J30" s="238" t="str">
        <f t="shared" si="1"/>
        <v>*</v>
      </c>
      <c r="K30" s="137"/>
      <c r="L30" s="134"/>
      <c r="M30" s="110" t="str">
        <f t="shared" si="2"/>
        <v/>
      </c>
      <c r="N30" s="238" t="str">
        <f t="shared" si="3"/>
        <v/>
      </c>
      <c r="O30" s="958"/>
      <c r="P30" s="968"/>
      <c r="Q30" s="129"/>
      <c r="R30" s="133"/>
      <c r="S30" s="133"/>
      <c r="T30" s="133"/>
      <c r="U30" s="133"/>
      <c r="V30" s="133"/>
      <c r="W30" s="133"/>
    </row>
    <row r="31" spans="1:24" ht="19.5" customHeight="1" x14ac:dyDescent="0.25">
      <c r="A31" s="115"/>
      <c r="B31" s="116"/>
      <c r="C31" s="117"/>
      <c r="D31" s="105">
        <v>0</v>
      </c>
      <c r="E31" s="106">
        <v>27</v>
      </c>
      <c r="F31" s="107">
        <f>BEGINBLAD!C31</f>
        <v>0</v>
      </c>
      <c r="G31" s="108">
        <f>'NIVEAU WAARDE - 1e toetsperiode'!F35</f>
        <v>0</v>
      </c>
      <c r="H31" s="109">
        <f>'NIVEAU WAARDE - 2e toetsperiode'!F35</f>
        <v>0</v>
      </c>
      <c r="I31" s="110" t="str">
        <f t="shared" si="0"/>
        <v/>
      </c>
      <c r="J31" s="238" t="str">
        <f t="shared" si="1"/>
        <v/>
      </c>
      <c r="K31" s="137"/>
      <c r="L31" s="134"/>
      <c r="M31" s="110" t="str">
        <f t="shared" si="2"/>
        <v/>
      </c>
      <c r="N31" s="238" t="str">
        <f t="shared" si="3"/>
        <v/>
      </c>
      <c r="O31" s="958"/>
      <c r="P31" s="968"/>
      <c r="Q31" s="129"/>
      <c r="R31" s="133"/>
      <c r="S31" s="133"/>
      <c r="T31" s="133"/>
      <c r="U31" s="133"/>
      <c r="V31" s="133"/>
      <c r="W31" s="133"/>
    </row>
    <row r="32" spans="1:24" ht="19.5" customHeight="1" x14ac:dyDescent="0.25">
      <c r="A32" s="115"/>
      <c r="B32" s="116"/>
      <c r="C32" s="117"/>
      <c r="D32" s="105">
        <v>0</v>
      </c>
      <c r="E32" s="106">
        <v>28</v>
      </c>
      <c r="F32" s="107">
        <f>BEGINBLAD!C32</f>
        <v>0</v>
      </c>
      <c r="G32" s="108">
        <f>'NIVEAU WAARDE - 1e toetsperiode'!F36</f>
        <v>0</v>
      </c>
      <c r="H32" s="109">
        <f>'NIVEAU WAARDE - 2e toetsperiode'!F36</f>
        <v>0</v>
      </c>
      <c r="I32" s="110" t="str">
        <f t="shared" si="0"/>
        <v/>
      </c>
      <c r="J32" s="238" t="str">
        <f t="shared" si="1"/>
        <v/>
      </c>
      <c r="K32" s="137"/>
      <c r="L32" s="134"/>
      <c r="M32" s="110" t="str">
        <f t="shared" si="2"/>
        <v/>
      </c>
      <c r="N32" s="238" t="str">
        <f t="shared" si="3"/>
        <v/>
      </c>
      <c r="O32" s="958"/>
      <c r="P32" s="968"/>
      <c r="Q32" s="129"/>
      <c r="R32" s="133"/>
      <c r="S32" s="133"/>
      <c r="T32" s="133"/>
      <c r="U32" s="133"/>
      <c r="V32" s="133"/>
      <c r="W32" s="133"/>
    </row>
    <row r="33" spans="1:27" ht="19.5" customHeight="1" x14ac:dyDescent="0.25">
      <c r="A33" s="115"/>
      <c r="B33" s="116"/>
      <c r="C33" s="117"/>
      <c r="D33" s="105">
        <v>0</v>
      </c>
      <c r="E33" s="106">
        <v>29</v>
      </c>
      <c r="F33" s="107">
        <f>BEGINBLAD!C33</f>
        <v>0</v>
      </c>
      <c r="G33" s="108">
        <f>'NIVEAU WAARDE - 1e toetsperiode'!F37</f>
        <v>0</v>
      </c>
      <c r="H33" s="109">
        <f>'NIVEAU WAARDE - 2e toetsperiode'!F37</f>
        <v>0</v>
      </c>
      <c r="I33" s="110" t="str">
        <f t="shared" si="0"/>
        <v/>
      </c>
      <c r="J33" s="238" t="str">
        <f t="shared" si="1"/>
        <v/>
      </c>
      <c r="K33" s="137"/>
      <c r="L33" s="134"/>
      <c r="M33" s="110" t="str">
        <f t="shared" si="2"/>
        <v/>
      </c>
      <c r="N33" s="238" t="str">
        <f t="shared" si="3"/>
        <v/>
      </c>
      <c r="O33" s="958"/>
      <c r="P33" s="968"/>
      <c r="Q33" s="129"/>
      <c r="R33" s="133"/>
      <c r="S33" s="133"/>
      <c r="T33" s="133"/>
      <c r="U33" s="133"/>
      <c r="V33" s="133"/>
      <c r="W33" s="133"/>
    </row>
    <row r="34" spans="1:27" ht="19.5" customHeight="1" x14ac:dyDescent="0.25">
      <c r="A34" s="115"/>
      <c r="B34" s="116"/>
      <c r="C34" s="117"/>
      <c r="D34" s="105">
        <v>0</v>
      </c>
      <c r="E34" s="106">
        <v>30</v>
      </c>
      <c r="F34" s="107">
        <f>BEGINBLAD!C34</f>
        <v>0</v>
      </c>
      <c r="G34" s="108">
        <f>'NIVEAU WAARDE - 1e toetsperiode'!F38</f>
        <v>0</v>
      </c>
      <c r="H34" s="109">
        <f>'NIVEAU WAARDE - 2e toetsperiode'!F38</f>
        <v>0</v>
      </c>
      <c r="I34" s="110" t="str">
        <f t="shared" si="0"/>
        <v/>
      </c>
      <c r="J34" s="238" t="str">
        <f t="shared" si="1"/>
        <v/>
      </c>
      <c r="K34" s="137"/>
      <c r="L34" s="134"/>
      <c r="M34" s="110" t="str">
        <f t="shared" si="2"/>
        <v/>
      </c>
      <c r="N34" s="238" t="str">
        <f t="shared" si="3"/>
        <v/>
      </c>
      <c r="O34" s="958"/>
      <c r="P34" s="968"/>
      <c r="Q34" s="129"/>
      <c r="R34" s="133"/>
      <c r="S34" s="133"/>
      <c r="T34" s="133"/>
      <c r="U34" s="133"/>
      <c r="V34" s="133"/>
      <c r="W34" s="133"/>
    </row>
    <row r="35" spans="1:27" ht="19.5" customHeight="1" thickBot="1" x14ac:dyDescent="0.3">
      <c r="A35" s="115"/>
      <c r="B35" s="116"/>
      <c r="C35" s="117"/>
      <c r="D35" s="105">
        <v>0</v>
      </c>
      <c r="E35" s="106">
        <v>31</v>
      </c>
      <c r="F35" s="107">
        <f>BEGINBLAD!C35</f>
        <v>0</v>
      </c>
      <c r="G35" s="108">
        <f>'NIVEAU WAARDE - 1e toetsperiode'!F39</f>
        <v>0</v>
      </c>
      <c r="H35" s="109">
        <f>'NIVEAU WAARDE - 2e toetsperiode'!F39</f>
        <v>0</v>
      </c>
      <c r="I35" s="110" t="str">
        <f t="shared" si="0"/>
        <v/>
      </c>
      <c r="J35" s="238" t="str">
        <f t="shared" si="1"/>
        <v/>
      </c>
      <c r="K35" s="137"/>
      <c r="L35" s="134"/>
      <c r="M35" s="110" t="str">
        <f t="shared" si="2"/>
        <v/>
      </c>
      <c r="N35" s="238" t="str">
        <f t="shared" si="3"/>
        <v/>
      </c>
      <c r="O35" s="959"/>
      <c r="P35" s="969"/>
      <c r="Q35" s="129"/>
      <c r="R35" s="133"/>
      <c r="S35" s="133"/>
      <c r="T35" s="133"/>
      <c r="U35" s="133"/>
      <c r="V35" s="133"/>
      <c r="W35" s="133"/>
    </row>
    <row r="36" spans="1:27" ht="19.5" customHeight="1" thickBot="1" x14ac:dyDescent="0.3">
      <c r="A36" s="115"/>
      <c r="B36" s="116"/>
      <c r="C36" s="117"/>
      <c r="D36" s="105">
        <v>0</v>
      </c>
      <c r="E36" s="106">
        <v>32</v>
      </c>
      <c r="F36" s="107">
        <f>BEGINBLAD!C36</f>
        <v>0</v>
      </c>
      <c r="G36" s="108">
        <f>'NIVEAU WAARDE - 1e toetsperiode'!F40</f>
        <v>0</v>
      </c>
      <c r="H36" s="109">
        <f>'NIVEAU WAARDE - 2e toetsperiode'!F40</f>
        <v>0</v>
      </c>
      <c r="I36" s="110" t="str">
        <f t="shared" si="0"/>
        <v/>
      </c>
      <c r="J36" s="238" t="str">
        <f t="shared" si="1"/>
        <v/>
      </c>
      <c r="K36" s="137"/>
      <c r="L36" s="134"/>
      <c r="M36" s="110" t="str">
        <f t="shared" si="2"/>
        <v/>
      </c>
      <c r="N36" s="238" t="str">
        <f t="shared" si="3"/>
        <v/>
      </c>
      <c r="O36" s="120"/>
      <c r="P36" s="126" t="s">
        <v>12</v>
      </c>
      <c r="Q36" s="129"/>
      <c r="R36" s="133"/>
      <c r="S36" s="133"/>
      <c r="T36" s="133"/>
      <c r="U36" s="133"/>
      <c r="V36" s="133"/>
      <c r="W36" s="133"/>
    </row>
    <row r="37" spans="1:27" ht="19.5" customHeight="1" x14ac:dyDescent="0.25">
      <c r="A37" s="115"/>
      <c r="B37" s="116"/>
      <c r="C37" s="117"/>
      <c r="D37" s="105">
        <v>0</v>
      </c>
      <c r="E37" s="106">
        <v>33</v>
      </c>
      <c r="F37" s="107">
        <f>BEGINBLAD!C37</f>
        <v>0</v>
      </c>
      <c r="G37" s="108">
        <f>'NIVEAU WAARDE - 1e toetsperiode'!F41</f>
        <v>0</v>
      </c>
      <c r="H37" s="109">
        <f>'NIVEAU WAARDE - 2e toetsperiode'!F41</f>
        <v>0</v>
      </c>
      <c r="I37" s="110" t="str">
        <f t="shared" si="0"/>
        <v/>
      </c>
      <c r="J37" s="238" t="str">
        <f t="shared" si="1"/>
        <v/>
      </c>
      <c r="K37" s="137"/>
      <c r="L37" s="134"/>
      <c r="M37" s="110" t="str">
        <f t="shared" si="2"/>
        <v/>
      </c>
      <c r="N37" s="238" t="str">
        <f t="shared" si="3"/>
        <v/>
      </c>
      <c r="O37" s="957" t="s">
        <v>70</v>
      </c>
      <c r="P37" s="962" t="str">
        <f>'VERRIJKT - 2e periode'!F6</f>
        <v>Uitdaging bieden.</v>
      </c>
      <c r="Q37" s="129"/>
      <c r="R37" s="133"/>
      <c r="S37" s="133"/>
      <c r="T37" s="133"/>
      <c r="U37" s="133"/>
      <c r="V37" s="133"/>
      <c r="W37" s="133"/>
    </row>
    <row r="38" spans="1:27" ht="19.5" customHeight="1" x14ac:dyDescent="0.25">
      <c r="A38" s="115"/>
      <c r="B38" s="116"/>
      <c r="C38" s="117"/>
      <c r="D38" s="105">
        <v>0</v>
      </c>
      <c r="E38" s="106">
        <v>34</v>
      </c>
      <c r="F38" s="107">
        <f>BEGINBLAD!C38</f>
        <v>0</v>
      </c>
      <c r="G38" s="108">
        <f>'NIVEAU WAARDE - 1e toetsperiode'!F42</f>
        <v>0</v>
      </c>
      <c r="H38" s="109">
        <f>'NIVEAU WAARDE - 2e toetsperiode'!F42</f>
        <v>0</v>
      </c>
      <c r="I38" s="110" t="str">
        <f t="shared" si="0"/>
        <v/>
      </c>
      <c r="J38" s="238" t="str">
        <f t="shared" si="1"/>
        <v/>
      </c>
      <c r="K38" s="137"/>
      <c r="L38" s="134"/>
      <c r="M38" s="110" t="str">
        <f t="shared" si="2"/>
        <v/>
      </c>
      <c r="N38" s="238" t="str">
        <f t="shared" si="3"/>
        <v/>
      </c>
      <c r="O38" s="958"/>
      <c r="P38" s="963"/>
      <c r="Q38" s="129"/>
      <c r="R38" s="133"/>
      <c r="S38" s="133"/>
      <c r="T38" s="133"/>
      <c r="U38" s="133"/>
      <c r="V38" s="133"/>
      <c r="W38" s="133"/>
    </row>
    <row r="39" spans="1:27" ht="19.5" customHeight="1" x14ac:dyDescent="0.25">
      <c r="A39" s="115"/>
      <c r="B39" s="116"/>
      <c r="C39" s="117"/>
      <c r="D39" s="105">
        <v>0</v>
      </c>
      <c r="E39" s="106">
        <v>35</v>
      </c>
      <c r="F39" s="107">
        <f>BEGINBLAD!C39</f>
        <v>0</v>
      </c>
      <c r="G39" s="108">
        <f>'NIVEAU WAARDE - 1e toetsperiode'!F43</f>
        <v>0</v>
      </c>
      <c r="H39" s="109">
        <f>'NIVEAU WAARDE - 2e toetsperiode'!F43</f>
        <v>0</v>
      </c>
      <c r="I39" s="110" t="str">
        <f t="shared" si="0"/>
        <v/>
      </c>
      <c r="J39" s="238" t="str">
        <f t="shared" si="1"/>
        <v/>
      </c>
      <c r="K39" s="137"/>
      <c r="L39" s="134"/>
      <c r="M39" s="110" t="str">
        <f t="shared" si="2"/>
        <v/>
      </c>
      <c r="N39" s="238" t="str">
        <f t="shared" si="3"/>
        <v/>
      </c>
      <c r="O39" s="958" t="s">
        <v>71</v>
      </c>
      <c r="P39" s="955" t="str">
        <f>'VERRIJKT - 2e periode'!F8</f>
        <v>Levelwerk, pluswerkboek taal, C-niveau Nieuwsbegrip voor: D, M, B, G, J</v>
      </c>
      <c r="Q39" s="129"/>
      <c r="R39" s="133"/>
      <c r="S39" s="133"/>
      <c r="T39" s="133"/>
      <c r="U39" s="133"/>
      <c r="V39" s="133"/>
      <c r="W39" s="133"/>
    </row>
    <row r="40" spans="1:27" s="103" customFormat="1" ht="19.5" customHeight="1" thickBot="1" x14ac:dyDescent="0.3">
      <c r="A40" s="115"/>
      <c r="B40" s="116"/>
      <c r="C40" s="117"/>
      <c r="D40" s="105">
        <v>0</v>
      </c>
      <c r="E40" s="142">
        <v>36</v>
      </c>
      <c r="F40" s="143">
        <f>BEGINBLAD!C40</f>
        <v>0</v>
      </c>
      <c r="G40" s="144">
        <f>'NIVEAU WAARDE - 1e toetsperiode'!F44</f>
        <v>0</v>
      </c>
      <c r="H40" s="145">
        <f>'NIVEAU WAARDE - 2e toetsperiode'!F44</f>
        <v>0</v>
      </c>
      <c r="I40" s="146" t="str">
        <f t="shared" si="0"/>
        <v/>
      </c>
      <c r="J40" s="238" t="str">
        <f t="shared" si="1"/>
        <v/>
      </c>
      <c r="K40" s="247"/>
      <c r="L40" s="147"/>
      <c r="M40" s="146" t="str">
        <f t="shared" si="2"/>
        <v/>
      </c>
      <c r="N40" s="238" t="str">
        <f t="shared" si="3"/>
        <v/>
      </c>
      <c r="O40" s="958"/>
      <c r="P40" s="955"/>
      <c r="Q40" s="129"/>
      <c r="R40" s="133"/>
      <c r="S40" s="133"/>
      <c r="T40" s="133"/>
      <c r="U40" s="133"/>
      <c r="V40" s="133"/>
      <c r="W40" s="133"/>
      <c r="X40" s="127"/>
      <c r="Y40" s="127"/>
      <c r="Z40" s="127"/>
      <c r="AA40" s="127"/>
    </row>
    <row r="41" spans="1:27" ht="19.5" customHeight="1" thickBot="1" x14ac:dyDescent="0.35">
      <c r="A41" s="148"/>
      <c r="B41" s="149"/>
      <c r="C41" s="970" t="s">
        <v>13</v>
      </c>
      <c r="D41" s="970"/>
      <c r="E41" s="970"/>
      <c r="F41" s="970"/>
      <c r="G41" s="971" t="s">
        <v>12</v>
      </c>
      <c r="H41" s="971"/>
      <c r="I41" s="971"/>
      <c r="J41" s="971"/>
      <c r="K41" s="971"/>
      <c r="L41" s="971"/>
      <c r="M41" s="971"/>
      <c r="O41" s="958"/>
      <c r="P41" s="955"/>
      <c r="Q41" s="129"/>
      <c r="R41" s="150"/>
      <c r="S41" s="150"/>
      <c r="T41" s="150"/>
      <c r="U41" s="150"/>
      <c r="V41" s="150"/>
      <c r="W41" s="150"/>
    </row>
    <row r="42" spans="1:27" ht="19.5" customHeight="1" x14ac:dyDescent="0.25">
      <c r="A42" s="129"/>
      <c r="B42" s="169"/>
      <c r="C42" s="176" t="s">
        <v>73</v>
      </c>
      <c r="D42" s="972"/>
      <c r="E42" s="973"/>
      <c r="F42" s="1004"/>
      <c r="G42" s="975" t="s">
        <v>73</v>
      </c>
      <c r="H42" s="976"/>
      <c r="I42" s="1023"/>
      <c r="J42" s="1024"/>
      <c r="K42" s="1024"/>
      <c r="L42" s="1024"/>
      <c r="M42" s="1025"/>
      <c r="O42" s="958"/>
      <c r="P42" s="955"/>
      <c r="Q42" s="129"/>
      <c r="R42" s="150"/>
      <c r="S42" s="150"/>
      <c r="T42" s="150"/>
      <c r="U42" s="150"/>
      <c r="V42" s="150"/>
      <c r="W42" s="150"/>
    </row>
    <row r="43" spans="1:27" ht="19.5" customHeight="1" x14ac:dyDescent="0.25">
      <c r="A43" s="129"/>
      <c r="B43" s="170"/>
      <c r="C43" s="177" t="s">
        <v>74</v>
      </c>
      <c r="D43" s="1008"/>
      <c r="E43" s="978"/>
      <c r="F43" s="1009"/>
      <c r="G43" s="980" t="s">
        <v>74</v>
      </c>
      <c r="H43" s="981"/>
      <c r="I43" s="1017"/>
      <c r="J43" s="1018"/>
      <c r="K43" s="1018"/>
      <c r="L43" s="1018"/>
      <c r="M43" s="1019"/>
      <c r="O43" s="958"/>
      <c r="P43" s="955"/>
      <c r="Q43" s="129"/>
      <c r="R43" s="150"/>
      <c r="S43" s="150"/>
      <c r="T43" s="150"/>
      <c r="U43" s="150"/>
      <c r="V43" s="150"/>
      <c r="W43" s="150"/>
    </row>
    <row r="44" spans="1:27" ht="19.5" customHeight="1" x14ac:dyDescent="0.25">
      <c r="A44" s="129"/>
      <c r="B44" s="170"/>
      <c r="C44" s="177" t="s">
        <v>75</v>
      </c>
      <c r="D44" s="1008"/>
      <c r="E44" s="978"/>
      <c r="F44" s="1009"/>
      <c r="G44" s="980" t="s">
        <v>75</v>
      </c>
      <c r="H44" s="981"/>
      <c r="I44" s="1017"/>
      <c r="J44" s="1018"/>
      <c r="K44" s="1018"/>
      <c r="L44" s="1018"/>
      <c r="M44" s="1019"/>
      <c r="O44" s="958"/>
      <c r="P44" s="955"/>
      <c r="Q44" s="129"/>
      <c r="R44" s="150"/>
      <c r="S44" s="150"/>
      <c r="T44" s="150"/>
      <c r="U44" s="150"/>
      <c r="V44" s="150"/>
      <c r="W44" s="150"/>
    </row>
    <row r="45" spans="1:27" ht="19.5" customHeight="1" x14ac:dyDescent="0.25">
      <c r="A45" s="129"/>
      <c r="B45" s="170"/>
      <c r="C45" s="177" t="s">
        <v>76</v>
      </c>
      <c r="D45" s="977"/>
      <c r="E45" s="978"/>
      <c r="F45" s="1009"/>
      <c r="G45" s="980" t="s">
        <v>76</v>
      </c>
      <c r="H45" s="981"/>
      <c r="I45" s="1017"/>
      <c r="J45" s="1018"/>
      <c r="K45" s="1018"/>
      <c r="L45" s="1018"/>
      <c r="M45" s="1019"/>
      <c r="O45" s="958"/>
      <c r="P45" s="955"/>
      <c r="Q45" s="129"/>
      <c r="R45" s="150"/>
      <c r="S45" s="150"/>
      <c r="T45" s="150"/>
      <c r="U45" s="150"/>
      <c r="V45" s="150"/>
      <c r="W45" s="150"/>
    </row>
    <row r="46" spans="1:27" ht="19.5" customHeight="1" thickBot="1" x14ac:dyDescent="0.3">
      <c r="A46" s="129"/>
      <c r="B46" s="170"/>
      <c r="C46" s="178" t="s">
        <v>77</v>
      </c>
      <c r="D46" s="989"/>
      <c r="E46" s="990"/>
      <c r="F46" s="1013"/>
      <c r="G46" s="992" t="s">
        <v>77</v>
      </c>
      <c r="H46" s="993"/>
      <c r="I46" s="1020"/>
      <c r="J46" s="1021"/>
      <c r="K46" s="1021"/>
      <c r="L46" s="1021"/>
      <c r="M46" s="1022"/>
      <c r="O46" s="959"/>
      <c r="P46" s="956"/>
      <c r="Q46" s="129"/>
      <c r="R46" s="133"/>
      <c r="S46" s="133"/>
      <c r="T46" s="133"/>
      <c r="U46" s="133"/>
      <c r="V46" s="133"/>
      <c r="W46" s="133"/>
    </row>
    <row r="47" spans="1:27" x14ac:dyDescent="0.25">
      <c r="B47" s="151"/>
      <c r="C47" s="156"/>
      <c r="D47" s="466"/>
      <c r="E47" s="467"/>
      <c r="F47" s="467"/>
      <c r="G47" s="467"/>
      <c r="H47" s="200"/>
      <c r="I47" s="153"/>
      <c r="J47" s="153"/>
      <c r="K47" s="1001" t="s">
        <v>7</v>
      </c>
      <c r="L47" s="1001"/>
      <c r="M47" s="1001"/>
      <c r="N47" s="152"/>
      <c r="O47" s="161"/>
      <c r="P47" s="161"/>
      <c r="Q47" s="129"/>
      <c r="R47" s="133"/>
      <c r="S47" s="133"/>
      <c r="T47" s="133"/>
      <c r="U47" s="133"/>
      <c r="V47" s="133"/>
      <c r="W47" s="133"/>
    </row>
    <row r="48" spans="1:27" x14ac:dyDescent="0.25">
      <c r="B48" s="171"/>
      <c r="C48" s="164"/>
      <c r="D48" s="212">
        <f>BEGINBLAD!$D$41</f>
        <v>26</v>
      </c>
      <c r="E48" s="202"/>
      <c r="F48" s="203" t="s">
        <v>78</v>
      </c>
      <c r="G48" s="211">
        <f>H48/$D$49</f>
        <v>3.8461538461538464E-2</v>
      </c>
      <c r="H48" s="124">
        <f>COUNTIF($I$5:$I$40,"A-1+")</f>
        <v>1</v>
      </c>
      <c r="I48" s="124"/>
      <c r="J48" s="201" t="s">
        <v>79</v>
      </c>
      <c r="K48" s="201"/>
      <c r="L48" s="201"/>
      <c r="M48" s="227">
        <f>G48+G49+G50+G51+G52</f>
        <v>0.69230769230769229</v>
      </c>
      <c r="N48" s="227">
        <v>1</v>
      </c>
      <c r="O48" s="228"/>
      <c r="P48" s="152"/>
      <c r="Q48" s="129"/>
      <c r="R48" s="133"/>
      <c r="S48" s="133"/>
      <c r="T48" s="133"/>
      <c r="U48" s="133"/>
      <c r="V48" s="133"/>
      <c r="W48" s="133"/>
    </row>
    <row r="49" spans="2:23" x14ac:dyDescent="0.25">
      <c r="B49" s="171"/>
      <c r="C49" s="164"/>
      <c r="D49" s="208">
        <f>COUNTIF(H5:H40,"&gt;0")</f>
        <v>26</v>
      </c>
      <c r="E49" s="202"/>
      <c r="F49" s="203" t="s">
        <v>80</v>
      </c>
      <c r="G49" s="211">
        <f>H49/$D$49</f>
        <v>3.8461538461538464E-2</v>
      </c>
      <c r="H49" s="124">
        <f>COUNTIF($I$5:$I$40,"A-1")</f>
        <v>1</v>
      </c>
      <c r="I49" s="124"/>
      <c r="J49" s="201"/>
      <c r="K49" s="201"/>
      <c r="L49" s="201"/>
      <c r="M49" s="227"/>
      <c r="N49" s="227">
        <v>0.7</v>
      </c>
      <c r="O49" s="229"/>
      <c r="P49" s="163"/>
      <c r="Q49" s="129"/>
      <c r="R49" s="133"/>
      <c r="S49" s="133"/>
      <c r="T49" s="133"/>
      <c r="U49" s="133"/>
      <c r="V49" s="133"/>
      <c r="W49" s="133"/>
    </row>
    <row r="50" spans="2:23" x14ac:dyDescent="0.25">
      <c r="B50" s="171"/>
      <c r="C50" s="164"/>
      <c r="D50" s="204"/>
      <c r="E50" s="202"/>
      <c r="F50" s="205" t="s">
        <v>81</v>
      </c>
      <c r="G50" s="211">
        <f>(H50+I50)/$D$49</f>
        <v>0.23076923076923078</v>
      </c>
      <c r="H50" s="124">
        <f>COUNTIF($I$5:$I$40,"A-2")</f>
        <v>0</v>
      </c>
      <c r="I50" s="124">
        <f>COUNTIF($I$5:$I$40,"B-2")</f>
        <v>6</v>
      </c>
      <c r="J50" s="201"/>
      <c r="K50" s="201"/>
      <c r="L50" s="201"/>
      <c r="M50" s="227"/>
      <c r="N50" s="227">
        <v>0.6</v>
      </c>
      <c r="O50" s="229"/>
      <c r="P50" s="163"/>
      <c r="Q50" s="129"/>
      <c r="R50" s="133"/>
      <c r="S50" s="133"/>
      <c r="T50" s="133"/>
      <c r="U50" s="133"/>
      <c r="V50" s="133"/>
      <c r="W50" s="133"/>
    </row>
    <row r="51" spans="2:23" x14ac:dyDescent="0.25">
      <c r="B51" s="171"/>
      <c r="C51" s="164"/>
      <c r="D51" s="204"/>
      <c r="E51" s="202"/>
      <c r="F51" s="203" t="s">
        <v>82</v>
      </c>
      <c r="G51" s="211">
        <f>H51/$D$49</f>
        <v>0.19230769230769232</v>
      </c>
      <c r="H51" s="124">
        <f>COUNTIF($I$5:$I$40,"B-3")</f>
        <v>5</v>
      </c>
      <c r="I51" s="124"/>
      <c r="J51" s="201"/>
      <c r="K51" s="201"/>
      <c r="L51" s="201"/>
      <c r="M51" s="227"/>
      <c r="N51" s="227">
        <f>$M$48</f>
        <v>0.69230769230769229</v>
      </c>
      <c r="O51" s="229"/>
      <c r="P51" s="163"/>
      <c r="Q51" s="129"/>
      <c r="R51" s="133"/>
      <c r="S51" s="133"/>
      <c r="T51" s="133"/>
      <c r="U51" s="133"/>
      <c r="V51" s="133"/>
      <c r="W51" s="133"/>
    </row>
    <row r="52" spans="2:23" x14ac:dyDescent="0.25">
      <c r="B52" s="171"/>
      <c r="C52" s="164"/>
      <c r="D52" s="204"/>
      <c r="E52" s="202"/>
      <c r="F52" s="203" t="s">
        <v>83</v>
      </c>
      <c r="G52" s="211">
        <f>H52/$D$49</f>
        <v>0.19230769230769232</v>
      </c>
      <c r="H52" s="124">
        <f>COUNTIF($I$5:$I$40,"c-3")</f>
        <v>5</v>
      </c>
      <c r="I52" s="124"/>
      <c r="J52" s="201" t="s">
        <v>84</v>
      </c>
      <c r="K52" s="201"/>
      <c r="L52" s="201"/>
      <c r="M52" s="227">
        <f>G53+G54+G55+G57</f>
        <v>0.30769230769230771</v>
      </c>
      <c r="N52" s="230"/>
      <c r="O52" s="229"/>
      <c r="P52" s="163"/>
      <c r="Q52" s="129"/>
      <c r="R52" s="133"/>
      <c r="S52" s="133"/>
      <c r="T52" s="133"/>
      <c r="U52" s="133"/>
      <c r="V52" s="133"/>
      <c r="W52" s="133"/>
    </row>
    <row r="53" spans="2:23" x14ac:dyDescent="0.25">
      <c r="B53" s="171"/>
      <c r="C53" s="164"/>
      <c r="D53" s="204"/>
      <c r="E53" s="202"/>
      <c r="F53" s="205" t="s">
        <v>85</v>
      </c>
      <c r="G53" s="211">
        <f>H53/$D$49</f>
        <v>0.19230769230769232</v>
      </c>
      <c r="H53" s="124">
        <f>COUNTIF($I$5:$I$40,"c-4")</f>
        <v>5</v>
      </c>
      <c r="I53" s="212"/>
      <c r="J53" s="201"/>
      <c r="K53" s="201"/>
      <c r="L53" s="201"/>
      <c r="M53" s="227"/>
      <c r="N53" s="230"/>
      <c r="O53" s="229"/>
      <c r="P53" s="163"/>
      <c r="Q53" s="129"/>
      <c r="R53" s="133"/>
      <c r="S53" s="133"/>
      <c r="T53" s="133"/>
      <c r="U53" s="133"/>
      <c r="V53" s="133"/>
      <c r="W53" s="133"/>
    </row>
    <row r="54" spans="2:23" x14ac:dyDescent="0.25">
      <c r="B54" s="171"/>
      <c r="C54" s="164"/>
      <c r="D54" s="204"/>
      <c r="E54" s="202"/>
      <c r="F54" s="202" t="s">
        <v>86</v>
      </c>
      <c r="G54" s="211">
        <f>H54/$D$49</f>
        <v>0</v>
      </c>
      <c r="H54" s="124">
        <f>COUNTIF($I$5:$I$40,"d-4")</f>
        <v>0</v>
      </c>
      <c r="I54" s="212"/>
      <c r="J54" s="201"/>
      <c r="K54" s="201"/>
      <c r="L54" s="201"/>
      <c r="M54" s="227"/>
      <c r="N54" s="230"/>
      <c r="O54" s="229"/>
      <c r="P54" s="163"/>
      <c r="Q54" s="129"/>
      <c r="R54" s="133"/>
      <c r="S54" s="133"/>
      <c r="T54" s="133"/>
      <c r="U54" s="133"/>
      <c r="V54" s="133"/>
      <c r="W54" s="133"/>
    </row>
    <row r="55" spans="2:23" x14ac:dyDescent="0.25">
      <c r="B55" s="171"/>
      <c r="C55" s="164"/>
      <c r="D55" s="204"/>
      <c r="E55" s="202"/>
      <c r="F55" s="203" t="s">
        <v>87</v>
      </c>
      <c r="G55" s="211">
        <f>(H55+I55)/$D$49</f>
        <v>0.11538461538461539</v>
      </c>
      <c r="H55" s="124">
        <f>COUNTIF($I$5:$I$40,"d-5")</f>
        <v>2</v>
      </c>
      <c r="I55" s="124">
        <f>COUNTIF($I$5:$I$40,"e-5")</f>
        <v>1</v>
      </c>
      <c r="J55" s="201"/>
      <c r="K55" s="201"/>
      <c r="L55" s="201"/>
      <c r="M55" s="227"/>
      <c r="N55" s="230"/>
      <c r="O55" s="229"/>
      <c r="P55" s="163"/>
      <c r="Q55" s="129"/>
      <c r="R55" s="133"/>
      <c r="S55" s="133"/>
      <c r="T55" s="133"/>
      <c r="U55" s="133"/>
      <c r="V55" s="133"/>
      <c r="W55" s="133"/>
    </row>
    <row r="56" spans="2:23" x14ac:dyDescent="0.25">
      <c r="B56" s="171"/>
      <c r="C56" s="164"/>
      <c r="D56" s="204"/>
      <c r="E56" s="202"/>
      <c r="F56" s="203"/>
      <c r="G56" s="211"/>
      <c r="H56" s="124"/>
      <c r="I56" s="124"/>
      <c r="J56" s="201" t="s">
        <v>0</v>
      </c>
      <c r="K56" s="201"/>
      <c r="L56" s="201"/>
      <c r="M56" s="227">
        <f>M48+M52</f>
        <v>1</v>
      </c>
      <c r="N56" s="845"/>
      <c r="O56" s="229"/>
      <c r="P56" s="163"/>
      <c r="Q56" s="129"/>
      <c r="R56" s="133"/>
      <c r="S56" s="133"/>
      <c r="T56" s="133"/>
      <c r="U56" s="133"/>
      <c r="V56" s="133"/>
      <c r="W56" s="133"/>
    </row>
    <row r="57" spans="2:23" x14ac:dyDescent="0.25">
      <c r="B57" s="171"/>
      <c r="C57" s="164"/>
      <c r="D57" s="204"/>
      <c r="E57" s="202"/>
      <c r="F57" s="206" t="s">
        <v>88</v>
      </c>
      <c r="G57" s="211">
        <f>H57/$D$49</f>
        <v>0</v>
      </c>
      <c r="H57" s="124">
        <f>COUNTIF($I$5:$I$40,"e-5-")</f>
        <v>0</v>
      </c>
      <c r="I57" s="124"/>
      <c r="J57" s="201"/>
      <c r="K57" s="201"/>
      <c r="L57" s="201"/>
      <c r="M57" s="227"/>
      <c r="N57" s="845"/>
      <c r="O57" s="229"/>
      <c r="P57" s="163"/>
      <c r="Q57" s="129"/>
      <c r="R57" s="133"/>
      <c r="S57" s="133"/>
      <c r="T57" s="133"/>
      <c r="U57" s="133"/>
      <c r="V57" s="133"/>
      <c r="W57" s="133"/>
    </row>
    <row r="58" spans="2:23" x14ac:dyDescent="0.25">
      <c r="B58" s="171"/>
      <c r="C58" s="156"/>
      <c r="D58" s="204"/>
      <c r="E58" s="202"/>
      <c r="F58" s="203" t="s">
        <v>0</v>
      </c>
      <c r="G58" s="207">
        <f>SUM(G48:G57)</f>
        <v>1</v>
      </c>
      <c r="H58" s="460">
        <f>SUM(H48:H57)</f>
        <v>19</v>
      </c>
      <c r="I58" s="236">
        <f>SUM(I48:I57)</f>
        <v>7</v>
      </c>
      <c r="J58" s="212"/>
      <c r="K58" s="212"/>
      <c r="L58" s="228"/>
      <c r="M58" s="228"/>
      <c r="N58" s="228"/>
      <c r="O58" s="228"/>
      <c r="P58" s="161"/>
      <c r="Q58" s="129"/>
      <c r="R58" s="133"/>
      <c r="S58" s="133"/>
      <c r="T58" s="133"/>
      <c r="U58" s="133"/>
      <c r="V58" s="133"/>
      <c r="W58" s="133"/>
    </row>
    <row r="59" spans="2:23" x14ac:dyDescent="0.25">
      <c r="B59" s="171"/>
      <c r="C59" s="156"/>
      <c r="D59" s="204"/>
      <c r="E59" s="202"/>
      <c r="F59" s="199"/>
      <c r="G59" s="199"/>
      <c r="H59" s="212">
        <f>SUM(H58+I58)</f>
        <v>26</v>
      </c>
      <c r="I59" s="212"/>
      <c r="J59" s="212"/>
      <c r="K59" s="212"/>
      <c r="L59" s="228"/>
      <c r="M59" s="228"/>
      <c r="N59" s="228"/>
      <c r="O59" s="228"/>
      <c r="P59" s="161"/>
      <c r="Q59" s="129"/>
      <c r="R59" s="133"/>
      <c r="S59" s="133"/>
      <c r="T59" s="133"/>
      <c r="U59" s="133"/>
      <c r="V59" s="133"/>
      <c r="W59" s="133"/>
    </row>
    <row r="60" spans="2:23" x14ac:dyDescent="0.25">
      <c r="B60" s="171"/>
      <c r="C60" s="156"/>
      <c r="D60" s="208"/>
      <c r="E60" s="199"/>
      <c r="F60" s="202"/>
      <c r="G60" s="211"/>
      <c r="H60" s="200"/>
      <c r="I60" s="200"/>
      <c r="J60" s="200"/>
      <c r="K60" s="200"/>
      <c r="L60" s="228"/>
      <c r="M60" s="228"/>
      <c r="N60" s="228"/>
      <c r="O60" s="228"/>
      <c r="P60" s="161"/>
      <c r="Q60" s="129"/>
      <c r="R60" s="133"/>
      <c r="S60" s="133"/>
      <c r="T60" s="133"/>
      <c r="U60" s="133"/>
      <c r="V60" s="133"/>
      <c r="W60" s="133"/>
    </row>
    <row r="61" spans="2:23" x14ac:dyDescent="0.25">
      <c r="B61" s="171"/>
      <c r="C61" s="156"/>
      <c r="D61" s="208"/>
      <c r="E61" s="199"/>
      <c r="F61" s="209"/>
      <c r="G61" s="211"/>
      <c r="H61" s="200"/>
      <c r="I61" s="200"/>
      <c r="J61" s="200"/>
      <c r="K61" s="200"/>
      <c r="L61" s="228"/>
      <c r="M61" s="228"/>
      <c r="N61" s="228"/>
      <c r="O61" s="228"/>
      <c r="P61" s="161"/>
      <c r="Q61" s="129"/>
      <c r="R61" s="133"/>
      <c r="S61" s="133"/>
      <c r="T61" s="133"/>
      <c r="U61" s="133"/>
      <c r="V61" s="133"/>
      <c r="W61" s="133"/>
    </row>
    <row r="62" spans="2:23" x14ac:dyDescent="0.25">
      <c r="B62" s="172"/>
      <c r="C62" s="179"/>
      <c r="D62" s="155"/>
      <c r="E62" s="156"/>
      <c r="F62" s="180"/>
      <c r="G62" s="181"/>
      <c r="H62" s="153"/>
      <c r="I62" s="153"/>
      <c r="J62" s="153"/>
      <c r="K62" s="153"/>
      <c r="L62" s="152"/>
      <c r="M62" s="152"/>
      <c r="N62" s="152"/>
      <c r="O62" s="152"/>
      <c r="P62" s="161"/>
      <c r="Q62" s="129"/>
      <c r="R62" s="133"/>
      <c r="S62" s="133"/>
      <c r="T62" s="133"/>
      <c r="U62" s="133"/>
      <c r="V62" s="133"/>
      <c r="W62" s="133"/>
    </row>
    <row r="63" spans="2:23" x14ac:dyDescent="0.25">
      <c r="B63" s="171"/>
      <c r="C63" s="156"/>
      <c r="D63" s="155"/>
      <c r="E63" s="156"/>
      <c r="F63" s="156"/>
      <c r="G63" s="156"/>
      <c r="H63" s="153"/>
      <c r="I63" s="153"/>
      <c r="J63" s="153"/>
      <c r="K63" s="153"/>
      <c r="L63" s="152"/>
      <c r="M63" s="152"/>
      <c r="N63" s="152"/>
      <c r="O63" s="152"/>
      <c r="P63" s="161"/>
      <c r="Q63" s="129"/>
      <c r="R63" s="133"/>
      <c r="S63" s="133"/>
      <c r="T63" s="133"/>
      <c r="U63" s="133"/>
      <c r="V63" s="133"/>
      <c r="W63" s="133"/>
    </row>
    <row r="64" spans="2:23" x14ac:dyDescent="0.25">
      <c r="B64" s="171"/>
      <c r="C64" s="154"/>
      <c r="D64" s="155"/>
      <c r="E64" s="156"/>
      <c r="F64" s="156"/>
      <c r="G64" s="156"/>
      <c r="H64" s="153"/>
      <c r="I64" s="153"/>
      <c r="J64" s="153"/>
      <c r="K64" s="153"/>
      <c r="L64" s="154"/>
      <c r="M64" s="152"/>
      <c r="N64" s="152"/>
      <c r="O64" s="152"/>
      <c r="P64" s="152"/>
      <c r="Q64" s="129"/>
      <c r="R64" s="133"/>
      <c r="S64" s="133"/>
      <c r="T64" s="133"/>
      <c r="U64" s="133"/>
      <c r="V64" s="133"/>
      <c r="W64" s="133"/>
    </row>
    <row r="65" spans="3:24" x14ac:dyDescent="0.25">
      <c r="C65" s="154"/>
      <c r="D65" s="155"/>
      <c r="E65" s="156"/>
      <c r="F65" s="156"/>
      <c r="G65" s="156"/>
      <c r="H65" s="153"/>
      <c r="I65" s="153"/>
      <c r="J65" s="153"/>
      <c r="K65" s="153"/>
      <c r="L65" s="154"/>
      <c r="M65" s="152"/>
      <c r="N65" s="152"/>
      <c r="O65" s="152"/>
      <c r="P65" s="152"/>
      <c r="Q65" s="129"/>
      <c r="R65" s="133"/>
      <c r="S65" s="133"/>
      <c r="T65" s="133"/>
      <c r="U65" s="133"/>
      <c r="V65" s="133"/>
      <c r="W65" s="133"/>
    </row>
    <row r="66" spans="3:24" x14ac:dyDescent="0.25">
      <c r="C66" s="154"/>
      <c r="D66" s="155"/>
      <c r="E66" s="156"/>
      <c r="F66" s="156"/>
      <c r="G66" s="156"/>
      <c r="H66" s="153"/>
      <c r="I66" s="153"/>
      <c r="J66" s="153"/>
      <c r="K66" s="153"/>
      <c r="L66" s="154"/>
      <c r="M66" s="152"/>
      <c r="N66" s="165"/>
      <c r="O66" s="152"/>
      <c r="P66" s="152"/>
      <c r="Q66" s="129"/>
      <c r="R66" s="133"/>
      <c r="S66" s="133"/>
      <c r="T66" s="133"/>
      <c r="U66" s="133"/>
      <c r="V66" s="133"/>
      <c r="W66" s="133"/>
      <c r="X66" s="157"/>
    </row>
    <row r="67" spans="3:24" ht="20" x14ac:dyDescent="0.3">
      <c r="C67" s="156"/>
      <c r="D67" s="164"/>
      <c r="E67" s="156"/>
      <c r="F67" s="156"/>
      <c r="G67" s="156"/>
      <c r="H67" s="153"/>
      <c r="I67" s="153"/>
      <c r="J67" s="166"/>
      <c r="K67" s="153"/>
      <c r="L67" s="156"/>
      <c r="M67" s="152"/>
      <c r="N67" s="152"/>
      <c r="O67" s="165"/>
      <c r="P67" s="165"/>
      <c r="Q67" s="129"/>
      <c r="R67" s="130"/>
      <c r="S67" s="130"/>
      <c r="T67" s="130"/>
      <c r="U67" s="131"/>
      <c r="V67" s="131"/>
      <c r="W67" s="131"/>
      <c r="X67" s="132"/>
    </row>
    <row r="68" spans="3:24" ht="20" x14ac:dyDescent="0.25">
      <c r="C68" s="156"/>
      <c r="D68" s="164"/>
      <c r="E68" s="156"/>
      <c r="F68" s="156"/>
      <c r="G68" s="156"/>
      <c r="H68" s="153"/>
      <c r="I68" s="153"/>
      <c r="J68" s="166"/>
      <c r="K68" s="153"/>
      <c r="L68" s="156"/>
      <c r="M68" s="152"/>
      <c r="N68" s="152"/>
      <c r="O68" s="152"/>
      <c r="P68" s="152"/>
      <c r="Q68" s="129"/>
      <c r="R68" s="133"/>
      <c r="S68" s="133"/>
      <c r="T68" s="133"/>
      <c r="U68" s="133"/>
      <c r="V68" s="133"/>
      <c r="W68" s="133"/>
    </row>
    <row r="69" spans="3:24" ht="20" x14ac:dyDescent="0.25">
      <c r="C69" s="154"/>
      <c r="D69" s="164"/>
      <c r="E69" s="154"/>
      <c r="F69" s="154"/>
      <c r="G69" s="154"/>
      <c r="H69" s="153"/>
      <c r="I69" s="153"/>
      <c r="J69" s="166"/>
      <c r="K69" s="153"/>
      <c r="L69" s="154"/>
      <c r="M69" s="152"/>
      <c r="N69" s="152"/>
      <c r="O69" s="152"/>
      <c r="P69" s="152"/>
      <c r="Q69" s="129"/>
      <c r="R69" s="133"/>
      <c r="S69" s="133"/>
      <c r="T69" s="133"/>
      <c r="U69" s="133"/>
      <c r="V69" s="133"/>
      <c r="W69" s="133"/>
    </row>
    <row r="70" spans="3:24" ht="20" x14ac:dyDescent="0.25">
      <c r="C70" s="154"/>
      <c r="D70" s="164"/>
      <c r="E70" s="154"/>
      <c r="F70" s="154"/>
      <c r="G70" s="154"/>
      <c r="H70" s="153"/>
      <c r="I70" s="153"/>
      <c r="J70" s="166"/>
      <c r="K70" s="153"/>
      <c r="L70" s="154"/>
      <c r="M70" s="152"/>
      <c r="N70" s="152"/>
      <c r="O70" s="152"/>
      <c r="P70" s="152"/>
      <c r="Q70" s="129"/>
      <c r="R70" s="133"/>
      <c r="S70" s="133"/>
      <c r="T70" s="133"/>
      <c r="U70" s="133"/>
      <c r="V70" s="133"/>
      <c r="W70" s="133"/>
    </row>
    <row r="71" spans="3:24" ht="20" x14ac:dyDescent="0.25">
      <c r="C71" s="154"/>
      <c r="D71" s="164"/>
      <c r="E71" s="154"/>
      <c r="F71" s="154"/>
      <c r="G71" s="154"/>
      <c r="H71" s="153"/>
      <c r="I71" s="153"/>
      <c r="J71" s="166"/>
      <c r="K71" s="153"/>
      <c r="L71" s="154"/>
      <c r="M71" s="152"/>
      <c r="N71" s="152"/>
      <c r="O71" s="152"/>
      <c r="P71" s="152"/>
      <c r="Q71" s="129"/>
      <c r="R71" s="133"/>
      <c r="S71" s="133"/>
      <c r="T71" s="133"/>
      <c r="U71" s="133"/>
      <c r="V71" s="133"/>
      <c r="W71" s="133"/>
    </row>
    <row r="72" spans="3:24" x14ac:dyDescent="0.25">
      <c r="C72" s="154"/>
      <c r="D72" s="155"/>
      <c r="E72" s="154"/>
      <c r="F72" s="154"/>
      <c r="G72" s="154"/>
      <c r="H72" s="153"/>
      <c r="I72" s="153"/>
      <c r="J72" s="153"/>
      <c r="K72" s="153"/>
      <c r="L72" s="154"/>
      <c r="M72" s="152"/>
      <c r="N72" s="152"/>
      <c r="O72" s="152"/>
      <c r="P72" s="152"/>
      <c r="Q72" s="129"/>
      <c r="R72" s="133"/>
      <c r="S72" s="133"/>
      <c r="T72" s="133"/>
      <c r="U72" s="133"/>
      <c r="V72" s="133"/>
      <c r="W72" s="133"/>
    </row>
    <row r="73" spans="3:24" x14ac:dyDescent="0.25">
      <c r="C73" s="154"/>
      <c r="D73" s="155"/>
      <c r="E73" s="154"/>
      <c r="F73" s="154"/>
      <c r="G73" s="154"/>
      <c r="H73" s="153"/>
      <c r="I73" s="153"/>
      <c r="J73" s="153"/>
      <c r="K73" s="153"/>
      <c r="L73" s="154"/>
      <c r="M73" s="152"/>
      <c r="N73" s="152"/>
      <c r="O73" s="152"/>
      <c r="P73" s="152"/>
      <c r="Q73" s="129"/>
      <c r="R73" s="133"/>
      <c r="S73" s="133"/>
      <c r="T73" s="133"/>
      <c r="U73" s="133"/>
      <c r="V73" s="133"/>
      <c r="W73" s="133"/>
    </row>
    <row r="74" spans="3:24" x14ac:dyDescent="0.25">
      <c r="C74" s="154"/>
      <c r="D74" s="155"/>
      <c r="E74" s="154"/>
      <c r="F74" s="154"/>
      <c r="G74" s="154"/>
      <c r="H74" s="153"/>
      <c r="I74" s="153"/>
      <c r="J74" s="153"/>
      <c r="K74" s="153"/>
      <c r="L74" s="154"/>
      <c r="M74" s="152"/>
      <c r="N74" s="152"/>
      <c r="O74" s="152"/>
      <c r="P74" s="152"/>
      <c r="Q74" s="129"/>
      <c r="R74" s="133"/>
      <c r="S74" s="133"/>
      <c r="T74" s="133"/>
      <c r="U74" s="133"/>
      <c r="V74" s="133"/>
      <c r="W74" s="133"/>
    </row>
    <row r="75" spans="3:24" x14ac:dyDescent="0.25">
      <c r="C75" s="154"/>
      <c r="D75" s="155"/>
      <c r="E75" s="154"/>
      <c r="F75" s="154"/>
      <c r="G75" s="154"/>
      <c r="H75" s="153"/>
      <c r="I75" s="153"/>
      <c r="J75" s="153"/>
      <c r="K75" s="153"/>
      <c r="L75" s="154"/>
      <c r="M75" s="152"/>
      <c r="N75" s="152"/>
      <c r="O75" s="152"/>
      <c r="P75" s="152"/>
      <c r="Q75" s="129"/>
      <c r="R75" s="133"/>
      <c r="S75" s="133"/>
      <c r="T75" s="133"/>
      <c r="U75" s="133"/>
      <c r="V75" s="133"/>
      <c r="W75" s="133"/>
    </row>
    <row r="76" spans="3:24" x14ac:dyDescent="0.25">
      <c r="C76" s="154"/>
      <c r="D76" s="155"/>
      <c r="E76" s="154"/>
      <c r="F76" s="154"/>
      <c r="G76" s="154"/>
      <c r="H76" s="153"/>
      <c r="I76" s="153"/>
      <c r="J76" s="153"/>
      <c r="K76" s="153"/>
      <c r="L76" s="154"/>
      <c r="M76" s="152"/>
      <c r="N76" s="152"/>
      <c r="O76" s="152"/>
      <c r="P76" s="152"/>
      <c r="Q76" s="129"/>
      <c r="R76" s="133"/>
      <c r="S76" s="133"/>
      <c r="T76" s="133"/>
      <c r="U76" s="133"/>
      <c r="V76" s="133"/>
      <c r="W76" s="133"/>
    </row>
    <row r="77" spans="3:24" x14ac:dyDescent="0.25">
      <c r="C77" s="154"/>
      <c r="D77" s="155"/>
      <c r="E77" s="154"/>
      <c r="F77" s="154"/>
      <c r="G77" s="154"/>
      <c r="H77" s="153"/>
      <c r="I77" s="153"/>
      <c r="J77" s="153"/>
      <c r="K77" s="153"/>
      <c r="L77" s="154"/>
      <c r="M77" s="152"/>
      <c r="N77" s="152"/>
      <c r="O77" s="152"/>
      <c r="P77" s="152"/>
      <c r="Q77" s="129"/>
      <c r="R77" s="133"/>
      <c r="S77" s="133"/>
      <c r="T77" s="133"/>
      <c r="U77" s="133"/>
      <c r="V77" s="133"/>
      <c r="W77" s="133"/>
    </row>
    <row r="78" spans="3:24" x14ac:dyDescent="0.25">
      <c r="C78" s="154"/>
      <c r="D78" s="155"/>
      <c r="E78" s="154"/>
      <c r="F78" s="154"/>
      <c r="G78" s="154"/>
      <c r="H78" s="153"/>
      <c r="I78" s="153"/>
      <c r="J78" s="153"/>
      <c r="K78" s="153"/>
      <c r="L78" s="154"/>
      <c r="M78" s="152"/>
      <c r="N78" s="152"/>
      <c r="O78" s="152"/>
      <c r="P78" s="152"/>
      <c r="Q78" s="129"/>
      <c r="R78" s="133"/>
      <c r="S78" s="133"/>
      <c r="T78" s="133"/>
      <c r="U78" s="133"/>
      <c r="V78" s="133"/>
      <c r="W78" s="133"/>
    </row>
    <row r="79" spans="3:24" x14ac:dyDescent="0.25">
      <c r="C79" s="154"/>
      <c r="D79" s="155"/>
      <c r="E79" s="154"/>
      <c r="F79" s="154"/>
      <c r="G79" s="154"/>
      <c r="H79" s="153"/>
      <c r="I79" s="153"/>
      <c r="J79" s="153"/>
      <c r="K79" s="153"/>
      <c r="L79" s="154"/>
      <c r="M79" s="152"/>
      <c r="N79" s="152"/>
      <c r="O79" s="152"/>
      <c r="P79" s="152"/>
      <c r="Q79" s="129"/>
      <c r="R79" s="133"/>
      <c r="S79" s="133"/>
      <c r="T79" s="133"/>
      <c r="U79" s="133"/>
      <c r="V79" s="133"/>
      <c r="W79" s="133"/>
    </row>
    <row r="80" spans="3:24" x14ac:dyDescent="0.25">
      <c r="C80" s="154"/>
      <c r="D80" s="155"/>
      <c r="E80" s="154"/>
      <c r="F80" s="154"/>
      <c r="G80" s="154"/>
      <c r="H80" s="153"/>
      <c r="I80" s="153"/>
      <c r="J80" s="153"/>
      <c r="K80" s="153"/>
      <c r="L80" s="154"/>
      <c r="M80" s="152"/>
      <c r="N80" s="152"/>
      <c r="O80" s="152"/>
      <c r="P80" s="152"/>
      <c r="Q80" s="129"/>
      <c r="R80" s="133"/>
      <c r="S80" s="133"/>
      <c r="T80" s="133"/>
      <c r="U80" s="133"/>
      <c r="V80" s="133"/>
      <c r="W80" s="133"/>
    </row>
    <row r="81" spans="3:23" x14ac:dyDescent="0.25">
      <c r="C81" s="154"/>
      <c r="D81" s="155"/>
      <c r="E81" s="154"/>
      <c r="F81" s="154"/>
      <c r="G81" s="154"/>
      <c r="H81" s="153"/>
      <c r="I81" s="153"/>
      <c r="J81" s="153"/>
      <c r="K81" s="153"/>
      <c r="L81" s="154"/>
      <c r="M81" s="152"/>
      <c r="N81" s="152"/>
      <c r="O81" s="152"/>
      <c r="P81" s="152"/>
      <c r="Q81" s="129"/>
      <c r="R81" s="133"/>
      <c r="S81" s="133"/>
      <c r="T81" s="133"/>
      <c r="U81" s="133"/>
      <c r="V81" s="133"/>
      <c r="W81" s="133"/>
    </row>
    <row r="82" spans="3:23" x14ac:dyDescent="0.25">
      <c r="C82" s="154"/>
      <c r="D82" s="155"/>
      <c r="E82" s="154"/>
      <c r="F82" s="154"/>
      <c r="G82" s="154"/>
      <c r="H82" s="153"/>
      <c r="I82" s="153"/>
      <c r="J82" s="153"/>
      <c r="K82" s="153"/>
      <c r="L82" s="154"/>
      <c r="M82" s="152"/>
      <c r="N82" s="152"/>
      <c r="O82" s="152"/>
      <c r="P82" s="152"/>
      <c r="Q82" s="129"/>
      <c r="R82" s="133"/>
      <c r="S82" s="133"/>
      <c r="T82" s="133"/>
      <c r="U82" s="133"/>
      <c r="V82" s="133"/>
      <c r="W82" s="133"/>
    </row>
    <row r="83" spans="3:23" x14ac:dyDescent="0.25">
      <c r="C83" s="154"/>
      <c r="D83" s="155"/>
      <c r="E83" s="154"/>
      <c r="F83" s="154"/>
      <c r="G83" s="154"/>
      <c r="H83" s="153"/>
      <c r="I83" s="153"/>
      <c r="J83" s="153"/>
      <c r="K83" s="153"/>
      <c r="L83" s="154"/>
      <c r="M83" s="152"/>
      <c r="N83" s="152"/>
      <c r="O83" s="152"/>
      <c r="P83" s="152"/>
      <c r="Q83" s="129"/>
      <c r="R83" s="133"/>
      <c r="S83" s="133"/>
      <c r="T83" s="133"/>
      <c r="U83" s="133"/>
      <c r="V83" s="133"/>
      <c r="W83" s="133"/>
    </row>
    <row r="84" spans="3:23" x14ac:dyDescent="0.25">
      <c r="C84" s="154"/>
      <c r="D84" s="155"/>
      <c r="E84" s="154"/>
      <c r="F84" s="154"/>
      <c r="G84" s="154"/>
      <c r="H84" s="153"/>
      <c r="I84" s="153"/>
      <c r="J84" s="153"/>
      <c r="K84" s="153"/>
      <c r="L84" s="154"/>
      <c r="M84" s="152"/>
      <c r="N84" s="152"/>
      <c r="O84" s="152"/>
      <c r="P84" s="152"/>
      <c r="Q84" s="129"/>
      <c r="R84" s="133"/>
      <c r="S84" s="133"/>
      <c r="T84" s="133"/>
      <c r="U84" s="133"/>
      <c r="V84" s="133"/>
      <c r="W84" s="133"/>
    </row>
    <row r="85" spans="3:23" x14ac:dyDescent="0.25">
      <c r="C85" s="154"/>
      <c r="D85" s="162"/>
      <c r="E85" s="167"/>
      <c r="F85" s="167"/>
      <c r="G85" s="167"/>
      <c r="H85" s="168"/>
      <c r="I85" s="168"/>
      <c r="J85" s="168"/>
      <c r="K85" s="168"/>
      <c r="L85" s="154"/>
      <c r="M85" s="152"/>
      <c r="N85" s="152"/>
      <c r="O85" s="152"/>
      <c r="P85" s="152"/>
      <c r="Q85" s="129"/>
      <c r="R85" s="133"/>
      <c r="S85" s="133"/>
      <c r="T85" s="133"/>
      <c r="U85" s="133"/>
      <c r="V85" s="133"/>
      <c r="W85" s="133"/>
    </row>
    <row r="86" spans="3:23" x14ac:dyDescent="0.25">
      <c r="M86" s="103"/>
      <c r="N86" s="103"/>
      <c r="O86" s="103"/>
      <c r="P86" s="103"/>
      <c r="Q86" s="129"/>
      <c r="R86" s="133"/>
      <c r="S86" s="133"/>
      <c r="T86" s="133"/>
      <c r="U86" s="133"/>
      <c r="V86" s="133"/>
      <c r="W86" s="133"/>
    </row>
    <row r="87" spans="3:23" x14ac:dyDescent="0.25">
      <c r="M87" s="103"/>
      <c r="N87" s="103"/>
      <c r="O87" s="103"/>
      <c r="P87" s="103"/>
      <c r="Q87" s="129"/>
      <c r="R87" s="133"/>
      <c r="S87" s="133"/>
      <c r="T87" s="133"/>
      <c r="U87" s="133"/>
      <c r="V87" s="133"/>
      <c r="W87" s="133"/>
    </row>
    <row r="88" spans="3:23" x14ac:dyDescent="0.25">
      <c r="M88" s="103"/>
      <c r="N88" s="103"/>
      <c r="O88" s="103"/>
      <c r="P88" s="103"/>
      <c r="Q88" s="103"/>
      <c r="R88" s="133"/>
      <c r="S88" s="133"/>
      <c r="T88" s="133"/>
      <c r="U88" s="133"/>
      <c r="V88" s="133"/>
      <c r="W88" s="133"/>
    </row>
    <row r="89" spans="3:23" x14ac:dyDescent="0.25">
      <c r="M89" s="103"/>
      <c r="N89" s="103"/>
      <c r="O89" s="103"/>
      <c r="P89" s="103"/>
      <c r="Q89" s="103"/>
      <c r="R89" s="133"/>
      <c r="S89" s="133"/>
      <c r="T89" s="133"/>
      <c r="U89" s="133"/>
      <c r="V89" s="133"/>
      <c r="W89" s="133"/>
    </row>
    <row r="90" spans="3:23" x14ac:dyDescent="0.25">
      <c r="M90" s="103"/>
      <c r="N90" s="103"/>
      <c r="O90" s="103"/>
      <c r="P90" s="103"/>
      <c r="Q90" s="103"/>
      <c r="R90" s="133"/>
      <c r="S90" s="133"/>
      <c r="T90" s="133"/>
      <c r="U90" s="133"/>
      <c r="V90" s="133"/>
      <c r="W90" s="133"/>
    </row>
    <row r="91" spans="3:23" x14ac:dyDescent="0.25">
      <c r="M91" s="103"/>
      <c r="N91" s="103"/>
      <c r="O91" s="103"/>
      <c r="P91" s="103"/>
      <c r="Q91" s="103"/>
      <c r="R91" s="133"/>
      <c r="S91" s="133"/>
      <c r="T91" s="133"/>
      <c r="U91" s="133"/>
      <c r="V91" s="133"/>
      <c r="W91" s="133"/>
    </row>
    <row r="92" spans="3:23" x14ac:dyDescent="0.25">
      <c r="R92" s="157"/>
      <c r="S92" s="157"/>
      <c r="T92" s="157"/>
      <c r="U92" s="157"/>
      <c r="V92" s="157"/>
      <c r="W92" s="157"/>
    </row>
    <row r="93" spans="3:23" x14ac:dyDescent="0.25">
      <c r="R93" s="157"/>
      <c r="S93" s="157"/>
      <c r="T93" s="157"/>
      <c r="U93" s="157"/>
      <c r="V93" s="157"/>
      <c r="W93" s="157"/>
    </row>
    <row r="94" spans="3:23" x14ac:dyDescent="0.25">
      <c r="R94" s="157"/>
      <c r="S94" s="157"/>
      <c r="T94" s="157"/>
      <c r="U94" s="157"/>
      <c r="V94" s="157"/>
      <c r="W94" s="157"/>
    </row>
    <row r="95" spans="3:23" x14ac:dyDescent="0.25">
      <c r="R95" s="157"/>
      <c r="S95" s="157"/>
      <c r="T95" s="157"/>
      <c r="U95" s="157"/>
      <c r="V95" s="157"/>
      <c r="W95" s="157"/>
    </row>
    <row r="96" spans="3:23" x14ac:dyDescent="0.25">
      <c r="R96" s="157"/>
      <c r="S96" s="157"/>
      <c r="T96" s="157"/>
      <c r="U96" s="157"/>
      <c r="V96" s="157"/>
      <c r="W96" s="157"/>
    </row>
    <row r="97" spans="18:23" x14ac:dyDescent="0.25">
      <c r="R97" s="157"/>
      <c r="S97" s="157"/>
      <c r="T97" s="157"/>
      <c r="U97" s="157"/>
      <c r="V97" s="157"/>
      <c r="W97" s="157"/>
    </row>
    <row r="98" spans="18:23" x14ac:dyDescent="0.25">
      <c r="R98" s="157"/>
      <c r="S98" s="157"/>
      <c r="T98" s="157"/>
      <c r="U98" s="157"/>
      <c r="V98" s="157"/>
      <c r="W98" s="157"/>
    </row>
    <row r="99" spans="18:23" x14ac:dyDescent="0.25">
      <c r="R99" s="157"/>
      <c r="S99" s="157"/>
      <c r="T99" s="157"/>
      <c r="U99" s="157"/>
      <c r="V99" s="157"/>
      <c r="W99" s="157"/>
    </row>
    <row r="100" spans="18:23" x14ac:dyDescent="0.25">
      <c r="R100" s="157"/>
      <c r="S100" s="157"/>
      <c r="T100" s="157"/>
      <c r="U100" s="157"/>
      <c r="V100" s="157"/>
      <c r="W100" s="157"/>
    </row>
    <row r="101" spans="18:23" x14ac:dyDescent="0.25">
      <c r="R101" s="157"/>
      <c r="S101" s="157"/>
      <c r="T101" s="157"/>
      <c r="U101" s="157"/>
      <c r="V101" s="157"/>
      <c r="W101" s="157"/>
    </row>
    <row r="102" spans="18:23" x14ac:dyDescent="0.25">
      <c r="R102" s="157"/>
      <c r="S102" s="157"/>
      <c r="T102" s="157"/>
      <c r="U102" s="157"/>
      <c r="V102" s="157"/>
      <c r="W102" s="157"/>
    </row>
    <row r="103" spans="18:23" x14ac:dyDescent="0.25">
      <c r="R103" s="157"/>
      <c r="S103" s="157"/>
      <c r="T103" s="157"/>
      <c r="U103" s="157"/>
      <c r="V103" s="157"/>
      <c r="W103" s="157"/>
    </row>
    <row r="104" spans="18:23" x14ac:dyDescent="0.25">
      <c r="R104" s="157"/>
      <c r="S104" s="157"/>
      <c r="T104" s="157"/>
      <c r="U104" s="157"/>
      <c r="V104" s="157"/>
      <c r="W104" s="157"/>
    </row>
    <row r="105" spans="18:23" x14ac:dyDescent="0.25">
      <c r="R105" s="157"/>
      <c r="S105" s="157"/>
      <c r="T105" s="157"/>
      <c r="U105" s="157"/>
      <c r="V105" s="157"/>
      <c r="W105" s="157"/>
    </row>
    <row r="106" spans="18:23" x14ac:dyDescent="0.25">
      <c r="R106" s="157"/>
      <c r="S106" s="157"/>
      <c r="T106" s="157"/>
      <c r="U106" s="157"/>
      <c r="V106" s="157"/>
      <c r="W106" s="157"/>
    </row>
    <row r="107" spans="18:23" x14ac:dyDescent="0.25">
      <c r="R107" s="157"/>
      <c r="S107" s="157"/>
      <c r="T107" s="157"/>
      <c r="U107" s="157"/>
      <c r="V107" s="157"/>
      <c r="W107" s="157"/>
    </row>
    <row r="108" spans="18:23" x14ac:dyDescent="0.25">
      <c r="R108" s="157"/>
      <c r="S108" s="157"/>
      <c r="T108" s="157"/>
      <c r="U108" s="157"/>
      <c r="V108" s="157"/>
      <c r="W108" s="157"/>
    </row>
    <row r="109" spans="18:23" x14ac:dyDescent="0.25">
      <c r="R109" s="157"/>
      <c r="S109" s="157"/>
      <c r="T109" s="157"/>
      <c r="U109" s="157"/>
      <c r="V109" s="157"/>
      <c r="W109" s="157"/>
    </row>
    <row r="110" spans="18:23" x14ac:dyDescent="0.25">
      <c r="R110" s="157"/>
      <c r="S110" s="157"/>
      <c r="T110" s="157"/>
      <c r="U110" s="157"/>
      <c r="V110" s="157"/>
      <c r="W110" s="157"/>
    </row>
    <row r="111" spans="18:23" x14ac:dyDescent="0.25">
      <c r="R111" s="157"/>
      <c r="S111" s="157"/>
      <c r="T111" s="157"/>
      <c r="U111" s="157"/>
      <c r="V111" s="157"/>
      <c r="W111" s="157"/>
    </row>
    <row r="112" spans="18:23" x14ac:dyDescent="0.25">
      <c r="R112" s="157"/>
      <c r="S112" s="157"/>
      <c r="T112" s="157"/>
      <c r="U112" s="157"/>
      <c r="V112" s="157"/>
      <c r="W112" s="157"/>
    </row>
    <row r="113" spans="18:23" x14ac:dyDescent="0.25">
      <c r="R113" s="157"/>
      <c r="S113" s="157"/>
      <c r="T113" s="157"/>
      <c r="U113" s="157"/>
      <c r="V113" s="157"/>
      <c r="W113" s="157"/>
    </row>
    <row r="114" spans="18:23" x14ac:dyDescent="0.25">
      <c r="R114" s="157"/>
      <c r="S114" s="157"/>
      <c r="T114" s="157"/>
      <c r="U114" s="157"/>
      <c r="V114" s="157"/>
      <c r="W114" s="157"/>
    </row>
    <row r="115" spans="18:23" x14ac:dyDescent="0.25">
      <c r="R115" s="157"/>
      <c r="S115" s="157"/>
      <c r="T115" s="157"/>
      <c r="U115" s="157"/>
      <c r="V115" s="157"/>
      <c r="W115" s="157"/>
    </row>
    <row r="116" spans="18:23" x14ac:dyDescent="0.25">
      <c r="R116" s="157"/>
      <c r="S116" s="157"/>
      <c r="T116" s="157"/>
      <c r="U116" s="157"/>
      <c r="V116" s="157"/>
      <c r="W116" s="157"/>
    </row>
    <row r="117" spans="18:23" x14ac:dyDescent="0.25">
      <c r="R117" s="157"/>
      <c r="S117" s="157"/>
      <c r="T117" s="157"/>
      <c r="U117" s="157"/>
      <c r="V117" s="157"/>
      <c r="W117" s="157"/>
    </row>
    <row r="118" spans="18:23" x14ac:dyDescent="0.25">
      <c r="R118" s="157"/>
      <c r="S118" s="157"/>
      <c r="T118" s="157"/>
      <c r="U118" s="157"/>
      <c r="V118" s="157"/>
      <c r="W118" s="157"/>
    </row>
    <row r="119" spans="18:23" x14ac:dyDescent="0.25">
      <c r="R119" s="157"/>
      <c r="S119" s="157"/>
      <c r="T119" s="157"/>
      <c r="U119" s="157"/>
      <c r="V119" s="157"/>
      <c r="W119" s="157"/>
    </row>
    <row r="120" spans="18:23" x14ac:dyDescent="0.25">
      <c r="R120" s="157"/>
      <c r="S120" s="157"/>
      <c r="T120" s="157"/>
      <c r="U120" s="157"/>
      <c r="V120" s="157"/>
      <c r="W120" s="157"/>
    </row>
    <row r="121" spans="18:23" x14ac:dyDescent="0.25">
      <c r="R121" s="157"/>
      <c r="S121" s="157"/>
      <c r="T121" s="157"/>
      <c r="U121" s="157"/>
      <c r="V121" s="157"/>
      <c r="W121" s="157"/>
    </row>
    <row r="122" spans="18:23" x14ac:dyDescent="0.25">
      <c r="R122" s="157"/>
      <c r="S122" s="157"/>
      <c r="T122" s="157"/>
      <c r="U122" s="157"/>
      <c r="V122" s="157"/>
      <c r="W122" s="157"/>
    </row>
    <row r="123" spans="18:23" x14ac:dyDescent="0.25">
      <c r="R123" s="157"/>
      <c r="S123" s="157"/>
      <c r="T123" s="157"/>
      <c r="U123" s="157"/>
      <c r="V123" s="157"/>
      <c r="W123" s="157"/>
    </row>
    <row r="124" spans="18:23" x14ac:dyDescent="0.25">
      <c r="R124" s="157"/>
      <c r="S124" s="157"/>
      <c r="T124" s="157"/>
      <c r="U124" s="157"/>
      <c r="V124" s="157"/>
      <c r="W124" s="157"/>
    </row>
    <row r="125" spans="18:23" x14ac:dyDescent="0.25">
      <c r="R125" s="157"/>
      <c r="S125" s="157"/>
      <c r="T125" s="157"/>
      <c r="U125" s="157"/>
      <c r="V125" s="157"/>
      <c r="W125" s="157"/>
    </row>
    <row r="126" spans="18:23" x14ac:dyDescent="0.25">
      <c r="R126" s="157"/>
      <c r="S126" s="157"/>
      <c r="T126" s="157"/>
      <c r="U126" s="157"/>
      <c r="V126" s="157"/>
      <c r="W126" s="157"/>
    </row>
    <row r="127" spans="18:23" x14ac:dyDescent="0.25">
      <c r="R127" s="157"/>
      <c r="S127" s="157"/>
      <c r="T127" s="157"/>
      <c r="U127" s="157"/>
      <c r="V127" s="157"/>
      <c r="W127" s="157"/>
    </row>
    <row r="128" spans="18:23" x14ac:dyDescent="0.25">
      <c r="R128" s="157"/>
      <c r="S128" s="157"/>
      <c r="T128" s="157"/>
      <c r="U128" s="157"/>
      <c r="V128" s="157"/>
      <c r="W128" s="157"/>
    </row>
    <row r="129" spans="18:23" x14ac:dyDescent="0.25">
      <c r="R129" s="157"/>
      <c r="S129" s="157"/>
      <c r="T129" s="157"/>
      <c r="U129" s="157"/>
      <c r="V129" s="157"/>
      <c r="W129" s="157"/>
    </row>
    <row r="130" spans="18:23" x14ac:dyDescent="0.25">
      <c r="R130" s="157"/>
      <c r="S130" s="157"/>
      <c r="T130" s="157"/>
      <c r="U130" s="157"/>
      <c r="V130" s="157"/>
      <c r="W130" s="157"/>
    </row>
    <row r="131" spans="18:23" x14ac:dyDescent="0.25">
      <c r="R131" s="157"/>
      <c r="S131" s="157"/>
      <c r="T131" s="157"/>
      <c r="U131" s="157"/>
      <c r="V131" s="157"/>
      <c r="W131" s="157"/>
    </row>
    <row r="132" spans="18:23" x14ac:dyDescent="0.25">
      <c r="R132" s="157"/>
      <c r="S132" s="157"/>
      <c r="T132" s="157"/>
      <c r="U132" s="157"/>
      <c r="V132" s="157"/>
      <c r="W132" s="157"/>
    </row>
    <row r="133" spans="18:23" x14ac:dyDescent="0.25">
      <c r="R133" s="157"/>
      <c r="S133" s="157"/>
      <c r="T133" s="157"/>
      <c r="U133" s="157"/>
      <c r="V133" s="157"/>
      <c r="W133" s="157"/>
    </row>
    <row r="134" spans="18:23" x14ac:dyDescent="0.25">
      <c r="R134" s="157"/>
      <c r="S134" s="157"/>
      <c r="T134" s="157"/>
      <c r="U134" s="157"/>
      <c r="V134" s="157"/>
      <c r="W134" s="157"/>
    </row>
    <row r="135" spans="18:23" x14ac:dyDescent="0.25">
      <c r="R135" s="157"/>
      <c r="S135" s="157"/>
      <c r="T135" s="157"/>
      <c r="U135" s="157"/>
      <c r="V135" s="157"/>
      <c r="W135" s="157"/>
    </row>
    <row r="136" spans="18:23" x14ac:dyDescent="0.25">
      <c r="R136" s="157"/>
      <c r="S136" s="157"/>
      <c r="T136" s="157"/>
      <c r="U136" s="157"/>
      <c r="V136" s="157"/>
      <c r="W136" s="157"/>
    </row>
    <row r="137" spans="18:23" x14ac:dyDescent="0.25">
      <c r="R137" s="157"/>
      <c r="S137" s="157"/>
      <c r="T137" s="157"/>
      <c r="U137" s="157"/>
      <c r="V137" s="157"/>
      <c r="W137" s="157"/>
    </row>
    <row r="138" spans="18:23" x14ac:dyDescent="0.25">
      <c r="R138" s="157"/>
      <c r="S138" s="157"/>
      <c r="T138" s="157"/>
      <c r="U138" s="157"/>
      <c r="V138" s="157"/>
      <c r="W138" s="157"/>
    </row>
    <row r="139" spans="18:23" x14ac:dyDescent="0.25">
      <c r="R139" s="157"/>
      <c r="S139" s="157"/>
      <c r="T139" s="157"/>
      <c r="U139" s="157"/>
      <c r="V139" s="157"/>
      <c r="W139" s="157"/>
    </row>
    <row r="140" spans="18:23" x14ac:dyDescent="0.25">
      <c r="R140" s="157"/>
      <c r="S140" s="157"/>
      <c r="T140" s="157"/>
      <c r="U140" s="157"/>
      <c r="V140" s="157"/>
      <c r="W140" s="157"/>
    </row>
    <row r="141" spans="18:23" x14ac:dyDescent="0.25">
      <c r="R141" s="157"/>
      <c r="S141" s="157"/>
      <c r="T141" s="157"/>
      <c r="U141" s="157"/>
      <c r="V141" s="157"/>
      <c r="W141" s="157"/>
    </row>
    <row r="142" spans="18:23" x14ac:dyDescent="0.25">
      <c r="R142" s="157"/>
      <c r="S142" s="157"/>
      <c r="T142" s="157"/>
      <c r="U142" s="157"/>
      <c r="V142" s="157"/>
      <c r="W142" s="157"/>
    </row>
    <row r="143" spans="18:23" x14ac:dyDescent="0.25">
      <c r="R143" s="157"/>
      <c r="S143" s="157"/>
      <c r="T143" s="157"/>
      <c r="U143" s="157"/>
      <c r="V143" s="157"/>
      <c r="W143" s="157"/>
    </row>
    <row r="144" spans="18:23" x14ac:dyDescent="0.25">
      <c r="R144" s="157"/>
      <c r="S144" s="157"/>
      <c r="T144" s="157"/>
      <c r="U144" s="157"/>
      <c r="V144" s="157"/>
      <c r="W144" s="157"/>
    </row>
    <row r="145" spans="18:23" x14ac:dyDescent="0.25">
      <c r="R145" s="157"/>
      <c r="S145" s="157"/>
      <c r="T145" s="157"/>
      <c r="U145" s="157"/>
      <c r="V145" s="157"/>
      <c r="W145" s="157"/>
    </row>
    <row r="146" spans="18:23" x14ac:dyDescent="0.25">
      <c r="R146" s="157"/>
      <c r="S146" s="157"/>
      <c r="T146" s="157"/>
      <c r="U146" s="157"/>
      <c r="V146" s="157"/>
      <c r="W146" s="157"/>
    </row>
    <row r="147" spans="18:23" x14ac:dyDescent="0.25">
      <c r="R147" s="157"/>
      <c r="S147" s="157"/>
      <c r="T147" s="157"/>
      <c r="U147" s="157"/>
      <c r="V147" s="157"/>
      <c r="W147" s="157"/>
    </row>
    <row r="148" spans="18:23" x14ac:dyDescent="0.25">
      <c r="R148" s="157"/>
      <c r="S148" s="157"/>
      <c r="T148" s="157"/>
      <c r="U148" s="157"/>
      <c r="V148" s="157"/>
      <c r="W148" s="157"/>
    </row>
    <row r="149" spans="18:23" x14ac:dyDescent="0.25">
      <c r="R149" s="157"/>
      <c r="S149" s="157"/>
      <c r="T149" s="157"/>
      <c r="U149" s="157"/>
      <c r="V149" s="157"/>
      <c r="W149" s="157"/>
    </row>
    <row r="150" spans="18:23" x14ac:dyDescent="0.25">
      <c r="R150" s="157"/>
      <c r="S150" s="157"/>
      <c r="T150" s="157"/>
      <c r="U150" s="157"/>
      <c r="V150" s="157"/>
      <c r="W150" s="157"/>
    </row>
    <row r="151" spans="18:23" x14ac:dyDescent="0.25">
      <c r="R151" s="157"/>
      <c r="S151" s="157"/>
      <c r="T151" s="157"/>
      <c r="U151" s="157"/>
      <c r="V151" s="157"/>
      <c r="W151" s="157"/>
    </row>
    <row r="152" spans="18:23" x14ac:dyDescent="0.25">
      <c r="R152" s="157"/>
      <c r="S152" s="157"/>
      <c r="T152" s="157"/>
      <c r="U152" s="157"/>
      <c r="V152" s="157"/>
      <c r="W152" s="157"/>
    </row>
    <row r="153" spans="18:23" x14ac:dyDescent="0.25">
      <c r="R153" s="157"/>
      <c r="S153" s="157"/>
      <c r="T153" s="157"/>
      <c r="U153" s="157"/>
      <c r="V153" s="157"/>
      <c r="W153" s="157"/>
    </row>
    <row r="154" spans="18:23" x14ac:dyDescent="0.25">
      <c r="R154" s="157"/>
      <c r="S154" s="157"/>
      <c r="T154" s="157"/>
      <c r="U154" s="157"/>
      <c r="V154" s="157"/>
      <c r="W154" s="157"/>
    </row>
    <row r="155" spans="18:23" x14ac:dyDescent="0.25">
      <c r="R155" s="157"/>
      <c r="S155" s="157"/>
      <c r="T155" s="157"/>
      <c r="U155" s="157"/>
      <c r="V155" s="157"/>
      <c r="W155" s="157"/>
    </row>
    <row r="156" spans="18:23" x14ac:dyDescent="0.25">
      <c r="R156" s="157"/>
      <c r="S156" s="157"/>
      <c r="T156" s="157"/>
      <c r="U156" s="157"/>
      <c r="V156" s="157"/>
      <c r="W156" s="157"/>
    </row>
    <row r="157" spans="18:23" x14ac:dyDescent="0.25">
      <c r="R157" s="157"/>
      <c r="S157" s="157"/>
      <c r="T157" s="157"/>
      <c r="U157" s="157"/>
      <c r="V157" s="157"/>
      <c r="W157" s="157"/>
    </row>
    <row r="158" spans="18:23" x14ac:dyDescent="0.25">
      <c r="R158" s="157"/>
      <c r="S158" s="157"/>
      <c r="T158" s="157"/>
      <c r="U158" s="157"/>
      <c r="V158" s="157"/>
      <c r="W158" s="157"/>
    </row>
    <row r="159" spans="18:23" x14ac:dyDescent="0.25">
      <c r="R159" s="157"/>
      <c r="S159" s="157"/>
      <c r="T159" s="157"/>
      <c r="U159" s="157"/>
      <c r="V159" s="157"/>
      <c r="W159" s="157"/>
    </row>
    <row r="160" spans="18:23" x14ac:dyDescent="0.25">
      <c r="R160" s="157"/>
      <c r="S160" s="157"/>
      <c r="T160" s="157"/>
      <c r="U160" s="157"/>
      <c r="V160" s="157"/>
      <c r="W160" s="157"/>
    </row>
    <row r="161" spans="18:23" x14ac:dyDescent="0.25">
      <c r="R161" s="157"/>
      <c r="S161" s="157"/>
      <c r="T161" s="157"/>
      <c r="U161" s="157"/>
      <c r="V161" s="157"/>
      <c r="W161" s="157"/>
    </row>
    <row r="162" spans="18:23" x14ac:dyDescent="0.25">
      <c r="R162" s="157"/>
      <c r="S162" s="157"/>
      <c r="T162" s="157"/>
      <c r="U162" s="157"/>
      <c r="V162" s="157"/>
      <c r="W162" s="157"/>
    </row>
    <row r="163" spans="18:23" x14ac:dyDescent="0.25">
      <c r="R163" s="157"/>
      <c r="S163" s="157"/>
      <c r="T163" s="157"/>
      <c r="U163" s="157"/>
      <c r="V163" s="157"/>
      <c r="W163" s="157"/>
    </row>
    <row r="164" spans="18:23" x14ac:dyDescent="0.25">
      <c r="R164" s="157"/>
      <c r="S164" s="157"/>
      <c r="T164" s="157"/>
      <c r="U164" s="157"/>
      <c r="V164" s="157"/>
      <c r="W164" s="157"/>
    </row>
    <row r="165" spans="18:23" x14ac:dyDescent="0.25">
      <c r="R165" s="157"/>
      <c r="S165" s="157"/>
      <c r="T165" s="157"/>
      <c r="U165" s="157"/>
      <c r="V165" s="157"/>
      <c r="W165" s="157"/>
    </row>
    <row r="166" spans="18:23" x14ac:dyDescent="0.25">
      <c r="R166" s="157"/>
      <c r="S166" s="157"/>
      <c r="T166" s="157"/>
      <c r="U166" s="157"/>
      <c r="V166" s="157"/>
      <c r="W166" s="157"/>
    </row>
    <row r="167" spans="18:23" x14ac:dyDescent="0.25">
      <c r="R167" s="157"/>
      <c r="S167" s="157"/>
      <c r="T167" s="157"/>
      <c r="U167" s="157"/>
      <c r="V167" s="157"/>
      <c r="W167" s="157"/>
    </row>
    <row r="168" spans="18:23" x14ac:dyDescent="0.25">
      <c r="R168" s="157"/>
      <c r="S168" s="157"/>
      <c r="T168" s="157"/>
      <c r="U168" s="157"/>
      <c r="V168" s="157"/>
      <c r="W168" s="157"/>
    </row>
    <row r="169" spans="18:23" x14ac:dyDescent="0.25">
      <c r="R169" s="157"/>
      <c r="S169" s="157"/>
      <c r="T169" s="157"/>
      <c r="U169" s="157"/>
      <c r="V169" s="157"/>
      <c r="W169" s="157"/>
    </row>
    <row r="170" spans="18:23" x14ac:dyDescent="0.25">
      <c r="R170" s="157"/>
      <c r="S170" s="157"/>
      <c r="T170" s="157"/>
      <c r="U170" s="157"/>
      <c r="V170" s="157"/>
      <c r="W170" s="157"/>
    </row>
    <row r="171" spans="18:23" x14ac:dyDescent="0.25">
      <c r="R171" s="157"/>
      <c r="S171" s="157"/>
      <c r="T171" s="157"/>
      <c r="U171" s="157"/>
      <c r="V171" s="157"/>
      <c r="W171" s="157"/>
    </row>
    <row r="172" spans="18:23" x14ac:dyDescent="0.25">
      <c r="R172" s="157"/>
      <c r="S172" s="157"/>
      <c r="T172" s="157"/>
      <c r="U172" s="157"/>
      <c r="V172" s="157"/>
      <c r="W172" s="157"/>
    </row>
    <row r="173" spans="18:23" x14ac:dyDescent="0.25">
      <c r="R173" s="157"/>
      <c r="S173" s="157"/>
      <c r="T173" s="157"/>
      <c r="U173" s="157"/>
      <c r="V173" s="157"/>
      <c r="W173" s="157"/>
    </row>
    <row r="174" spans="18:23" x14ac:dyDescent="0.25">
      <c r="R174" s="157"/>
      <c r="S174" s="157"/>
      <c r="T174" s="157"/>
      <c r="U174" s="157"/>
      <c r="V174" s="157"/>
      <c r="W174" s="157"/>
    </row>
    <row r="175" spans="18:23" x14ac:dyDescent="0.25">
      <c r="R175" s="157"/>
      <c r="S175" s="157"/>
      <c r="T175" s="157"/>
      <c r="U175" s="157"/>
      <c r="V175" s="157"/>
      <c r="W175" s="157"/>
    </row>
    <row r="176" spans="18:23" x14ac:dyDescent="0.25">
      <c r="R176" s="157"/>
      <c r="S176" s="157"/>
      <c r="T176" s="157"/>
      <c r="U176" s="157"/>
      <c r="V176" s="157"/>
      <c r="W176" s="157"/>
    </row>
    <row r="177" spans="18:23" x14ac:dyDescent="0.25">
      <c r="R177" s="157"/>
      <c r="S177" s="157"/>
      <c r="T177" s="157"/>
      <c r="U177" s="157"/>
      <c r="V177" s="157"/>
      <c r="W177" s="157"/>
    </row>
    <row r="178" spans="18:23" x14ac:dyDescent="0.25">
      <c r="R178" s="157"/>
      <c r="S178" s="157"/>
      <c r="T178" s="157"/>
      <c r="U178" s="157"/>
      <c r="V178" s="157"/>
      <c r="W178" s="157"/>
    </row>
    <row r="179" spans="18:23" x14ac:dyDescent="0.25">
      <c r="R179" s="157"/>
      <c r="S179" s="157"/>
      <c r="T179" s="157"/>
      <c r="U179" s="157"/>
      <c r="V179" s="157"/>
      <c r="W179" s="157"/>
    </row>
    <row r="180" spans="18:23" x14ac:dyDescent="0.25">
      <c r="R180" s="157"/>
      <c r="S180" s="157"/>
      <c r="T180" s="157"/>
      <c r="U180" s="157"/>
      <c r="V180" s="157"/>
      <c r="W180" s="157"/>
    </row>
    <row r="181" spans="18:23" x14ac:dyDescent="0.25">
      <c r="R181" s="157"/>
      <c r="S181" s="157"/>
      <c r="T181" s="157"/>
      <c r="U181" s="157"/>
      <c r="V181" s="157"/>
      <c r="W181" s="157"/>
    </row>
    <row r="182" spans="18:23" x14ac:dyDescent="0.25">
      <c r="R182" s="157"/>
      <c r="S182" s="157"/>
      <c r="T182" s="157"/>
      <c r="U182" s="157"/>
      <c r="V182" s="157"/>
      <c r="W182" s="157"/>
    </row>
    <row r="183" spans="18:23" x14ac:dyDescent="0.25">
      <c r="R183" s="157"/>
      <c r="S183" s="157"/>
      <c r="T183" s="157"/>
      <c r="U183" s="157"/>
      <c r="V183" s="157"/>
      <c r="W183" s="157"/>
    </row>
    <row r="184" spans="18:23" x14ac:dyDescent="0.25">
      <c r="R184" s="157"/>
      <c r="S184" s="157"/>
      <c r="T184" s="157"/>
      <c r="U184" s="157"/>
      <c r="V184" s="157"/>
      <c r="W184" s="157"/>
    </row>
    <row r="185" spans="18:23" x14ac:dyDescent="0.25">
      <c r="R185" s="157"/>
      <c r="S185" s="157"/>
      <c r="T185" s="157"/>
      <c r="U185" s="157"/>
      <c r="V185" s="157"/>
      <c r="W185" s="157"/>
    </row>
    <row r="186" spans="18:23" x14ac:dyDescent="0.25">
      <c r="R186" s="157"/>
      <c r="S186" s="157"/>
      <c r="T186" s="157"/>
      <c r="U186" s="157"/>
      <c r="V186" s="157"/>
      <c r="W186" s="157"/>
    </row>
    <row r="187" spans="18:23" x14ac:dyDescent="0.25">
      <c r="R187" s="157"/>
      <c r="S187" s="157"/>
      <c r="T187" s="157"/>
      <c r="U187" s="157"/>
      <c r="V187" s="157"/>
      <c r="W187" s="157"/>
    </row>
    <row r="188" spans="18:23" x14ac:dyDescent="0.25">
      <c r="R188" s="157"/>
      <c r="S188" s="157"/>
      <c r="T188" s="157"/>
      <c r="U188" s="157"/>
      <c r="V188" s="157"/>
      <c r="W188" s="157"/>
    </row>
    <row r="189" spans="18:23" x14ac:dyDescent="0.25">
      <c r="R189" s="157"/>
      <c r="S189" s="157"/>
      <c r="T189" s="157"/>
      <c r="U189" s="157"/>
      <c r="V189" s="157"/>
      <c r="W189" s="157"/>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17:C18">
    <cfRule type="expression" dxfId="448" priority="87" stopIfTrue="1">
      <formula>B17=3</formula>
    </cfRule>
    <cfRule type="expression" dxfId="447" priority="88" stopIfTrue="1">
      <formula>B17=4</formula>
    </cfRule>
    <cfRule type="expression" dxfId="446" priority="89" stopIfTrue="1">
      <formula>B17=5</formula>
    </cfRule>
  </conditionalFormatting>
  <conditionalFormatting sqref="F5:F40">
    <cfRule type="expression" dxfId="445" priority="83">
      <formula>$H5=0</formula>
    </cfRule>
    <cfRule type="expression" dxfId="444" priority="86">
      <formula>$H5=0</formula>
    </cfRule>
  </conditionalFormatting>
  <conditionalFormatting sqref="H5:H40">
    <cfRule type="cellIs" dxfId="443" priority="90" stopIfTrue="1" operator="between">
      <formula>0.1</formula>
      <formula>1.9</formula>
    </cfRule>
    <cfRule type="cellIs" dxfId="442" priority="91" stopIfTrue="1" operator="between">
      <formula>3</formula>
      <formula>3.9</formula>
    </cfRule>
    <cfRule type="cellIs" dxfId="441" priority="92" stopIfTrue="1" operator="between">
      <formula>4</formula>
      <formula>5</formula>
    </cfRule>
  </conditionalFormatting>
  <conditionalFormatting sqref="F5:F40">
    <cfRule type="expression" dxfId="440" priority="84">
      <formula>$H5&lt;#REF!</formula>
    </cfRule>
    <cfRule type="expression" dxfId="439" priority="85">
      <formula>$H5&gt;=#REF!</formula>
    </cfRule>
  </conditionalFormatting>
  <conditionalFormatting sqref="E5:E40">
    <cfRule type="expression" dxfId="438" priority="77">
      <formula>$D5=3</formula>
    </cfRule>
    <cfRule type="expression" dxfId="437" priority="78">
      <formula>$D5=4</formula>
    </cfRule>
    <cfRule type="expression" dxfId="436" priority="79">
      <formula>$D5=5</formula>
    </cfRule>
    <cfRule type="expression" dxfId="435" priority="80">
      <formula>$D5=8</formula>
    </cfRule>
    <cfRule type="expression" dxfId="434" priority="81">
      <formula>$D5=7</formula>
    </cfRule>
    <cfRule type="expression" dxfId="433" priority="82">
      <formula>$D5=6</formula>
    </cfRule>
  </conditionalFormatting>
  <conditionalFormatting sqref="C17:C18">
    <cfRule type="cellIs" dxfId="432" priority="73" operator="equal">
      <formula>""</formula>
    </cfRule>
    <cfRule type="expression" dxfId="431" priority="74" stopIfTrue="1">
      <formula>B17=8</formula>
    </cfRule>
    <cfRule type="expression" dxfId="430" priority="75" stopIfTrue="1">
      <formula>B17=7</formula>
    </cfRule>
    <cfRule type="expression" dxfId="429" priority="76" stopIfTrue="1">
      <formula>B17=6</formula>
    </cfRule>
  </conditionalFormatting>
  <conditionalFormatting sqref="C29:C40">
    <cfRule type="expression" dxfId="428" priority="70" stopIfTrue="1">
      <formula>B29=3</formula>
    </cfRule>
    <cfRule type="expression" dxfId="427" priority="71" stopIfTrue="1">
      <formula>B29=4</formula>
    </cfRule>
    <cfRule type="expression" dxfId="426" priority="72" stopIfTrue="1">
      <formula>B29=5</formula>
    </cfRule>
  </conditionalFormatting>
  <conditionalFormatting sqref="C29:C40">
    <cfRule type="cellIs" dxfId="425" priority="66" operator="equal">
      <formula>""</formula>
    </cfRule>
    <cfRule type="expression" dxfId="424" priority="67" stopIfTrue="1">
      <formula>B29=8</formula>
    </cfRule>
    <cfRule type="expression" dxfId="423" priority="68" stopIfTrue="1">
      <formula>B29=7</formula>
    </cfRule>
    <cfRule type="expression" dxfId="422" priority="69" stopIfTrue="1">
      <formula>B29=6</formula>
    </cfRule>
  </conditionalFormatting>
  <conditionalFormatting sqref="G42:G46">
    <cfRule type="cellIs" dxfId="421" priority="65" operator="notEqual">
      <formula>""</formula>
    </cfRule>
  </conditionalFormatting>
  <conditionalFormatting sqref="S7:U7 S9:U9 S11:U11">
    <cfRule type="cellIs" dxfId="420" priority="64" operator="equal">
      <formula>0</formula>
    </cfRule>
  </conditionalFormatting>
  <conditionalFormatting sqref="V13 V15">
    <cfRule type="cellIs" dxfId="419" priority="63" operator="equal">
      <formula>0</formula>
    </cfRule>
  </conditionalFormatting>
  <conditionalFormatting sqref="R13 R15">
    <cfRule type="cellIs" dxfId="418" priority="62" operator="equal">
      <formula>0</formula>
    </cfRule>
  </conditionalFormatting>
  <conditionalFormatting sqref="R7 R9 R11">
    <cfRule type="cellIs" dxfId="417" priority="61" operator="equal">
      <formula>0</formula>
    </cfRule>
  </conditionalFormatting>
  <conditionalFormatting sqref="V7 V9 V11">
    <cfRule type="cellIs" dxfId="416" priority="60" operator="equal">
      <formula>0</formula>
    </cfRule>
  </conditionalFormatting>
  <conditionalFormatting sqref="S13:U13 S15:U15">
    <cfRule type="cellIs" dxfId="415" priority="59" operator="equal">
      <formula>0</formula>
    </cfRule>
  </conditionalFormatting>
  <conditionalFormatting sqref="R6">
    <cfRule type="cellIs" dxfId="414" priority="58" operator="equal">
      <formula>0</formula>
    </cfRule>
  </conditionalFormatting>
  <conditionalFormatting sqref="V6">
    <cfRule type="cellIs" dxfId="413" priority="57" operator="equal">
      <formula>0</formula>
    </cfRule>
  </conditionalFormatting>
  <conditionalFormatting sqref="I5:I40">
    <cfRule type="cellIs" dxfId="412" priority="54" stopIfTrue="1" operator="between">
      <formula>"D-3"</formula>
      <formula>"E-5"</formula>
    </cfRule>
    <cfRule type="cellIs" dxfId="411" priority="55" stopIfTrue="1" operator="between">
      <formula>"B-2"</formula>
      <formula>"B-3"</formula>
    </cfRule>
    <cfRule type="cellIs" dxfId="410" priority="56" stopIfTrue="1" operator="between">
      <formula>"A-1"</formula>
      <formula>"A-2"</formula>
    </cfRule>
  </conditionalFormatting>
  <conditionalFormatting sqref="I5:I40">
    <cfRule type="cellIs" dxfId="409" priority="52" operator="equal">
      <formula>"E-5-"</formula>
    </cfRule>
    <cfRule type="cellIs" dxfId="408" priority="53" operator="equal">
      <formula>"A-1+"</formula>
    </cfRule>
  </conditionalFormatting>
  <conditionalFormatting sqref="C42:C46">
    <cfRule type="cellIs" dxfId="407" priority="44" operator="notEqual">
      <formula>""</formula>
    </cfRule>
  </conditionalFormatting>
  <conditionalFormatting sqref="L34:L40">
    <cfRule type="cellIs" dxfId="406" priority="41" stopIfTrue="1" operator="between">
      <formula>0.1</formula>
      <formula>1.9</formula>
    </cfRule>
    <cfRule type="cellIs" dxfId="405" priority="42" stopIfTrue="1" operator="between">
      <formula>3</formula>
      <formula>3.9</formula>
    </cfRule>
    <cfRule type="cellIs" dxfId="404" priority="43" stopIfTrue="1" operator="between">
      <formula>4</formula>
      <formula>5</formula>
    </cfRule>
  </conditionalFormatting>
  <conditionalFormatting sqref="L31:L33">
    <cfRule type="cellIs" dxfId="403" priority="38" stopIfTrue="1" operator="between">
      <formula>0.1</formula>
      <formula>1.9</formula>
    </cfRule>
    <cfRule type="cellIs" dxfId="402" priority="39" stopIfTrue="1" operator="between">
      <formula>3</formula>
      <formula>3.9</formula>
    </cfRule>
    <cfRule type="cellIs" dxfId="401" priority="40" stopIfTrue="1" operator="between">
      <formula>4</formula>
      <formula>5</formula>
    </cfRule>
  </conditionalFormatting>
  <conditionalFormatting sqref="L29:L30">
    <cfRule type="cellIs" dxfId="400" priority="35" stopIfTrue="1" operator="between">
      <formula>0.1</formula>
      <formula>1.9</formula>
    </cfRule>
    <cfRule type="cellIs" dxfId="399" priority="36" stopIfTrue="1" operator="between">
      <formula>3</formula>
      <formula>3.9</formula>
    </cfRule>
    <cfRule type="cellIs" dxfId="398" priority="37" stopIfTrue="1" operator="between">
      <formula>4</formula>
      <formula>5</formula>
    </cfRule>
  </conditionalFormatting>
  <conditionalFormatting sqref="L25:L28">
    <cfRule type="cellIs" dxfId="397" priority="32" stopIfTrue="1" operator="between">
      <formula>0.1</formula>
      <formula>1.9</formula>
    </cfRule>
    <cfRule type="cellIs" dxfId="396" priority="33" stopIfTrue="1" operator="between">
      <formula>3</formula>
      <formula>3.9</formula>
    </cfRule>
    <cfRule type="cellIs" dxfId="395" priority="34" stopIfTrue="1" operator="between">
      <formula>4</formula>
      <formula>5</formula>
    </cfRule>
  </conditionalFormatting>
  <conditionalFormatting sqref="L19:L23">
    <cfRule type="cellIs" dxfId="394" priority="29" stopIfTrue="1" operator="between">
      <formula>0.1</formula>
      <formula>1.9</formula>
    </cfRule>
    <cfRule type="cellIs" dxfId="393" priority="30" stopIfTrue="1" operator="between">
      <formula>3</formula>
      <formula>3.9</formula>
    </cfRule>
    <cfRule type="cellIs" dxfId="392" priority="31" stopIfTrue="1" operator="between">
      <formula>4</formula>
      <formula>5</formula>
    </cfRule>
  </conditionalFormatting>
  <conditionalFormatting sqref="L21:L24">
    <cfRule type="cellIs" dxfId="391" priority="26" stopIfTrue="1" operator="between">
      <formula>0.1</formula>
      <formula>1.9</formula>
    </cfRule>
    <cfRule type="cellIs" dxfId="390" priority="27" stopIfTrue="1" operator="between">
      <formula>3</formula>
      <formula>3.9</formula>
    </cfRule>
    <cfRule type="cellIs" dxfId="389" priority="28" stopIfTrue="1" operator="between">
      <formula>4</formula>
      <formula>5</formula>
    </cfRule>
  </conditionalFormatting>
  <conditionalFormatting sqref="K19:K23">
    <cfRule type="cellIs" dxfId="388" priority="23" stopIfTrue="1" operator="between">
      <formula>0.1</formula>
      <formula>1.9</formula>
    </cfRule>
    <cfRule type="cellIs" dxfId="387" priority="24" stopIfTrue="1" operator="between">
      <formula>3</formula>
      <formula>3.9</formula>
    </cfRule>
    <cfRule type="cellIs" dxfId="386" priority="25" stopIfTrue="1" operator="between">
      <formula>4</formula>
      <formula>5</formula>
    </cfRule>
  </conditionalFormatting>
  <conditionalFormatting sqref="K19:K40">
    <cfRule type="cellIs" dxfId="385" priority="22" operator="equal">
      <formula>""</formula>
    </cfRule>
  </conditionalFormatting>
  <conditionalFormatting sqref="L19:L40">
    <cfRule type="cellIs" dxfId="384" priority="21" operator="equal">
      <formula>""</formula>
    </cfRule>
  </conditionalFormatting>
  <conditionalFormatting sqref="K5:K8">
    <cfRule type="cellIs" dxfId="383" priority="20" operator="greaterThanOrEqual">
      <formula>""</formula>
    </cfRule>
  </conditionalFormatting>
  <conditionalFormatting sqref="L5:L8">
    <cfRule type="cellIs" dxfId="382" priority="17" stopIfTrue="1" operator="between">
      <formula>0.1</formula>
      <formula>1.9</formula>
    </cfRule>
    <cfRule type="cellIs" dxfId="381" priority="18" stopIfTrue="1" operator="between">
      <formula>3</formula>
      <formula>3.9</formula>
    </cfRule>
    <cfRule type="cellIs" dxfId="380" priority="19" stopIfTrue="1" operator="between">
      <formula>4</formula>
      <formula>5</formula>
    </cfRule>
  </conditionalFormatting>
  <conditionalFormatting sqref="J5:J40">
    <cfRule type="cellIs" dxfId="379" priority="15" operator="equal">
      <formula>"*"</formula>
    </cfRule>
    <cfRule type="cellIs" dxfId="378" priority="16" operator="equal">
      <formula>"!"</formula>
    </cfRule>
  </conditionalFormatting>
  <conditionalFormatting sqref="N5:N40">
    <cfRule type="cellIs" dxfId="377" priority="13" operator="equal">
      <formula>"*"</formula>
    </cfRule>
    <cfRule type="cellIs" dxfId="376" priority="14" operator="equal">
      <formula>"!"</formula>
    </cfRule>
  </conditionalFormatting>
  <conditionalFormatting sqref="M5:M40">
    <cfRule type="cellIs" dxfId="375" priority="10" stopIfTrue="1" operator="between">
      <formula>"D-3"</formula>
      <formula>"E-5"</formula>
    </cfRule>
    <cfRule type="cellIs" dxfId="374" priority="11" stopIfTrue="1" operator="between">
      <formula>"B-2"</formula>
      <formula>"B-3"</formula>
    </cfRule>
    <cfRule type="cellIs" dxfId="373" priority="12" stopIfTrue="1" operator="between">
      <formula>"A-1"</formula>
      <formula>"A-2"</formula>
    </cfRule>
  </conditionalFormatting>
  <conditionalFormatting sqref="M5:M40">
    <cfRule type="cellIs" dxfId="372" priority="8" operator="equal">
      <formula>"E-5-"</formula>
    </cfRule>
    <cfRule type="cellIs" dxfId="371" priority="9" operator="equal">
      <formula>"A-1+"</formula>
    </cfRule>
  </conditionalFormatting>
  <conditionalFormatting sqref="C7:C16">
    <cfRule type="expression" dxfId="370" priority="5" stopIfTrue="1">
      <formula>B7=3</formula>
    </cfRule>
    <cfRule type="expression" dxfId="369" priority="6" stopIfTrue="1">
      <formula>B7=4</formula>
    </cfRule>
    <cfRule type="expression" dxfId="368" priority="7" stopIfTrue="1">
      <formula>B7=5</formula>
    </cfRule>
  </conditionalFormatting>
  <conditionalFormatting sqref="C7:C16">
    <cfRule type="cellIs" dxfId="367" priority="1" operator="equal">
      <formula>""</formula>
    </cfRule>
    <cfRule type="expression" dxfId="366" priority="2" stopIfTrue="1">
      <formula>B7=8</formula>
    </cfRule>
    <cfRule type="expression" dxfId="365" priority="3" stopIfTrue="1">
      <formula>B7=7</formula>
    </cfRule>
    <cfRule type="expression" dxfId="364" priority="4" stopIfTrue="1">
      <formula>B7=6</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AA189"/>
  <sheetViews>
    <sheetView showGridLines="0" showRowColHeaders="0" zoomScaleNormal="100" workbookViewId="0">
      <selection activeCell="R10" sqref="R10"/>
    </sheetView>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5.7265625" style="90" customWidth="1"/>
    <col min="12" max="12" width="5.7265625" style="88" customWidth="1"/>
    <col min="13" max="13" width="5.7265625" style="83" customWidth="1"/>
    <col min="14" max="14" width="3.1796875" style="83" customWidth="1"/>
    <col min="15" max="15" width="4.81640625" style="83" bestFit="1" customWidth="1"/>
    <col min="16" max="16" width="60.7265625" style="83" customWidth="1"/>
    <col min="17" max="17" width="6.7265625" style="83" customWidth="1"/>
    <col min="18" max="22" width="7.26953125" style="87" customWidth="1"/>
    <col min="23" max="25" width="6.7265625" style="87" customWidth="1"/>
    <col min="26" max="26" width="6.26953125" style="87" customWidth="1"/>
    <col min="27" max="27" width="9.1796875" style="87"/>
    <col min="28" max="16384" width="9.1796875" style="83"/>
  </cols>
  <sheetData>
    <row r="1" spans="1:24" s="79" customFormat="1" ht="30" customHeight="1" thickBot="1" x14ac:dyDescent="0.65">
      <c r="B1" s="80"/>
      <c r="C1" s="960" t="s">
        <v>141</v>
      </c>
      <c r="D1" s="961"/>
      <c r="E1" s="961"/>
      <c r="F1" s="961"/>
      <c r="G1" s="961"/>
      <c r="H1" s="961"/>
      <c r="I1" s="961"/>
      <c r="J1" s="961"/>
      <c r="K1" s="938" t="str">
        <f>BEGINBLAD!$I$3</f>
        <v>groep 7</v>
      </c>
      <c r="L1" s="938"/>
      <c r="M1" s="938"/>
      <c r="N1" s="938"/>
      <c r="O1" s="938"/>
      <c r="P1" s="81"/>
      <c r="X1" s="82"/>
    </row>
    <row r="2" spans="1:24" ht="24" customHeight="1" x14ac:dyDescent="0.25">
      <c r="C2" s="953" t="str">
        <f>BEGINBLAD!$S$3</f>
        <v>mei.</v>
      </c>
      <c r="D2" s="953"/>
      <c r="E2" s="242"/>
      <c r="F2" s="244" t="str">
        <f>BEGINBLAD!$T$3</f>
        <v>okt.</v>
      </c>
      <c r="G2" s="954">
        <f>BEGINBLAD!$P$3</f>
        <v>2020</v>
      </c>
      <c r="H2" s="954"/>
      <c r="I2" s="954"/>
      <c r="M2" s="85"/>
      <c r="N2" s="86"/>
      <c r="O2" s="86"/>
    </row>
    <row r="3" spans="1:24" ht="13" thickBot="1" x14ac:dyDescent="0.3">
      <c r="M3" s="91"/>
      <c r="N3" s="91"/>
      <c r="O3" s="91"/>
      <c r="P3" s="91"/>
    </row>
    <row r="4" spans="1:24" ht="140.15" customHeight="1" x14ac:dyDescent="0.25">
      <c r="C4" s="92"/>
      <c r="D4" s="93"/>
      <c r="E4" s="94"/>
      <c r="F4" s="95" t="s">
        <v>5</v>
      </c>
      <c r="G4" s="96" t="s">
        <v>144</v>
      </c>
      <c r="H4" s="97" t="s">
        <v>143</v>
      </c>
      <c r="I4" s="98" t="s">
        <v>15</v>
      </c>
      <c r="J4" s="237"/>
      <c r="K4" s="96" t="s">
        <v>144</v>
      </c>
      <c r="L4" s="100" t="s">
        <v>142</v>
      </c>
      <c r="M4" s="98" t="s">
        <v>15</v>
      </c>
      <c r="N4" s="237"/>
      <c r="O4" s="102"/>
    </row>
    <row r="5" spans="1:24" ht="19.5" customHeight="1" x14ac:dyDescent="0.25">
      <c r="A5" s="103"/>
      <c r="B5" s="913" t="s">
        <v>2</v>
      </c>
      <c r="C5" s="104" t="s">
        <v>68</v>
      </c>
      <c r="D5" s="105">
        <v>0</v>
      </c>
      <c r="E5" s="106">
        <v>1</v>
      </c>
      <c r="F5" s="175" t="str">
        <f>BEGINBLAD!C5</f>
        <v>leerling 1</v>
      </c>
      <c r="G5" s="108">
        <f>'NIVEAU WAARDE - 1e toetsperiode'!E9</f>
        <v>1.9</v>
      </c>
      <c r="H5" s="109">
        <f>'NIVEAU WAARDE - 2e toetsperiode'!E9</f>
        <v>2.8</v>
      </c>
      <c r="I5" s="110" t="str">
        <f>IF(H5=0,"",IF(H5&gt;4.5,"A-1+",IF(H5&gt;4,"A-1",IF(H5&gt;=4,"A-2",IF(H5&gt;3.4,"B-2",IF(H5&gt;=3,"B-3",IF(H5&gt;2.5,"C-3",IF(H5&gt;=2,"C-4",IF(H5&gt;1.6,"D-4",IF(H5&gt;=1,"D-5",IF(H5&gt;0.5,"E-5",IF(H5&gt;=0,"E-5-"))))))))))))</f>
        <v>C-3</v>
      </c>
      <c r="J5" s="238" t="str">
        <f>IF(H5=0,"",IF(G5-H5&gt;0.5,"!",IF(H5-G5&gt;0.5,"*",IF(H5-G5&lt;=0.5,""))))</f>
        <v>*</v>
      </c>
      <c r="K5" s="441" t="e">
        <f>#REF!</f>
        <v>#REF!</v>
      </c>
      <c r="L5" s="111">
        <v>3.5</v>
      </c>
      <c r="M5" s="110" t="str">
        <f>IF(L5=0,"",IF(L5&gt;4.5,"A-1+",IF(L5&gt;4,"A-1",IF(L5&gt;=4,"A-2",IF(L5&gt;3.4,"B-2",IF(L5&gt;=3,"B-3",IF(L5&gt;2.5,"C-3",IF(L5&gt;=2,"C-4",IF(L5&gt;1.6,"D-4",IF(L5&gt;=1,"D-5",IF(L5&gt;0.5,"E-5",IF(L5&gt;=0,"E-5-"))))))))))))</f>
        <v>B-2</v>
      </c>
      <c r="N5" s="238" t="e">
        <f>IF(L5=0,"",IF(K5-L5&gt;0.5,"!",IF(L5-K5&gt;0.5,"*",IF(L5-K5&lt;=0.5,""))))</f>
        <v>#REF!</v>
      </c>
      <c r="O5" s="113"/>
    </row>
    <row r="6" spans="1:24" ht="19.5" customHeight="1" x14ac:dyDescent="0.25">
      <c r="A6" s="103"/>
      <c r="B6" s="913"/>
      <c r="C6" s="114" t="s">
        <v>69</v>
      </c>
      <c r="D6" s="105">
        <v>0</v>
      </c>
      <c r="E6" s="106">
        <v>2</v>
      </c>
      <c r="F6" s="107" t="str">
        <f>BEGINBLAD!C6</f>
        <v>leerling 2</v>
      </c>
      <c r="G6" s="108">
        <f>'NIVEAU WAARDE - 1e toetsperiode'!E10</f>
        <v>3.7</v>
      </c>
      <c r="H6" s="109">
        <f>'NIVEAU WAARDE - 2e toetsperiode'!E10</f>
        <v>5</v>
      </c>
      <c r="I6" s="110" t="str">
        <f t="shared" ref="I6:I40" si="0">IF(H6=0,"",IF(H6&gt;4.5,"A-1+",IF(H6&gt;4,"A-1",IF(H6&gt;=4,"A-2",IF(H6&gt;3.4,"B-2",IF(H6&gt;=3,"B-3",IF(H6&gt;2.5,"C-3",IF(H6&gt;=2,"C-4",IF(H6&gt;1.6,"D-4",IF(H6&gt;=1,"D-5",IF(H6&gt;0.5,"E-5",IF(H6&gt;=0,"E-5-"))))))))))))</f>
        <v>A-1+</v>
      </c>
      <c r="J6" s="238" t="str">
        <f t="shared" ref="J6:J40" si="1">IF(H6=0,"",IF(G6-H6&gt;0.5,"!",IF(H6-G6&gt;0.5,"*",IF(H6-G6&lt;=0.5,""))))</f>
        <v>*</v>
      </c>
      <c r="K6" s="441" t="e">
        <f>#REF!</f>
        <v>#REF!</v>
      </c>
      <c r="L6" s="111">
        <v>3.5</v>
      </c>
      <c r="M6" s="110" t="str">
        <f t="shared" ref="M6:M40" si="2">IF(L6=0,"",IF(L6&gt;4.5,"A-1+",IF(L6&gt;4,"A-1",IF(L6&gt;=4,"A-2",IF(L6&gt;3.4,"B-2",IF(L6&gt;=3,"B-3",IF(L6&gt;2.5,"C-3",IF(L6&gt;=2,"C-4",IF(L6&gt;1.6,"D-4",IF(L6&gt;=1,"D-5",IF(L6&gt;0.5,"E-5",IF(L6&gt;=0,"E-5-"))))))))))))</f>
        <v>B-2</v>
      </c>
      <c r="N6" s="238" t="e">
        <f t="shared" ref="N6:N40" si="3">IF(L6=0,"",IF(K6-L6&gt;0.5,"!",IF(L6-K6&gt;0.5,"*",IF(L6-K6&lt;=0.5,""))))</f>
        <v>#REF!</v>
      </c>
      <c r="O6" s="113"/>
      <c r="R6" s="158"/>
      <c r="S6" s="158"/>
      <c r="T6" s="158"/>
      <c r="U6" s="158"/>
      <c r="V6" s="158"/>
    </row>
    <row r="7" spans="1:24" ht="19.5" customHeight="1" x14ac:dyDescent="0.25">
      <c r="A7" s="115"/>
      <c r="B7" s="369"/>
      <c r="C7" s="371"/>
      <c r="D7" s="105">
        <v>0</v>
      </c>
      <c r="E7" s="106">
        <v>3</v>
      </c>
      <c r="F7" s="107" t="str">
        <f>BEGINBLAD!C7</f>
        <v>leerling 3</v>
      </c>
      <c r="G7" s="108">
        <f>'NIVEAU WAARDE - 1e toetsperiode'!E11</f>
        <v>3.7</v>
      </c>
      <c r="H7" s="109">
        <f>'NIVEAU WAARDE - 2e toetsperiode'!E11</f>
        <v>4.4000000000000004</v>
      </c>
      <c r="I7" s="110" t="str">
        <f t="shared" si="0"/>
        <v>A-1</v>
      </c>
      <c r="J7" s="238" t="str">
        <f t="shared" si="1"/>
        <v>*</v>
      </c>
      <c r="K7" s="441" t="e">
        <f>#REF!</f>
        <v>#REF!</v>
      </c>
      <c r="L7" s="111">
        <v>4.5999999999999996</v>
      </c>
      <c r="M7" s="110" t="str">
        <f t="shared" si="2"/>
        <v>A-1+</v>
      </c>
      <c r="N7" s="238" t="e">
        <f t="shared" si="3"/>
        <v>#REF!</v>
      </c>
      <c r="O7" s="113"/>
      <c r="R7" s="159"/>
      <c r="S7" s="159"/>
      <c r="T7" s="159"/>
      <c r="U7" s="159"/>
      <c r="V7" s="159"/>
    </row>
    <row r="8" spans="1:24" ht="19.5" customHeight="1" x14ac:dyDescent="0.25">
      <c r="A8" s="115"/>
      <c r="B8" s="369"/>
      <c r="C8" s="371"/>
      <c r="D8" s="118">
        <v>0</v>
      </c>
      <c r="E8" s="106">
        <v>4</v>
      </c>
      <c r="F8" s="107" t="str">
        <f>BEGINBLAD!C8</f>
        <v>leerling 4</v>
      </c>
      <c r="G8" s="108">
        <f>'NIVEAU WAARDE - 1e toetsperiode'!E12</f>
        <v>4.5</v>
      </c>
      <c r="H8" s="109">
        <f>'NIVEAU WAARDE - 2e toetsperiode'!E12</f>
        <v>4.9000000000000004</v>
      </c>
      <c r="I8" s="110" t="str">
        <f t="shared" si="0"/>
        <v>A-1+</v>
      </c>
      <c r="J8" s="238" t="str">
        <f t="shared" si="1"/>
        <v/>
      </c>
      <c r="K8" s="441" t="e">
        <f>#REF!</f>
        <v>#REF!</v>
      </c>
      <c r="L8" s="111">
        <v>4.5999999999999996</v>
      </c>
      <c r="M8" s="110" t="str">
        <f t="shared" si="2"/>
        <v>A-1+</v>
      </c>
      <c r="N8" s="238" t="e">
        <f t="shared" si="3"/>
        <v>#REF!</v>
      </c>
      <c r="O8" s="120"/>
      <c r="R8" s="159"/>
      <c r="S8" s="159"/>
      <c r="T8" s="159"/>
      <c r="U8" s="159"/>
      <c r="V8" s="159"/>
    </row>
    <row r="9" spans="1:24" ht="19.5" customHeight="1" x14ac:dyDescent="0.25">
      <c r="A9" s="115"/>
      <c r="B9" s="369"/>
      <c r="C9" s="371"/>
      <c r="D9" s="121">
        <v>0</v>
      </c>
      <c r="E9" s="106">
        <v>5</v>
      </c>
      <c r="F9" s="107" t="str">
        <f>BEGINBLAD!C9</f>
        <v>leerling 5</v>
      </c>
      <c r="G9" s="108">
        <f>'NIVEAU WAARDE - 1e toetsperiode'!E13</f>
        <v>4.9000000000000004</v>
      </c>
      <c r="H9" s="109">
        <f>'NIVEAU WAARDE - 2e toetsperiode'!E13</f>
        <v>5</v>
      </c>
      <c r="I9" s="110" t="str">
        <f t="shared" si="0"/>
        <v>A-1+</v>
      </c>
      <c r="J9" s="238" t="str">
        <f t="shared" si="1"/>
        <v/>
      </c>
      <c r="K9" s="441" t="e">
        <f>#REF!</f>
        <v>#REF!</v>
      </c>
      <c r="L9" s="111">
        <v>4.8</v>
      </c>
      <c r="M9" s="110" t="str">
        <f t="shared" si="2"/>
        <v>A-1+</v>
      </c>
      <c r="N9" s="238" t="e">
        <f t="shared" si="3"/>
        <v>#REF!</v>
      </c>
      <c r="O9" s="123"/>
      <c r="R9" s="159"/>
      <c r="S9" s="159"/>
      <c r="T9" s="159"/>
      <c r="U9" s="159"/>
      <c r="V9" s="159"/>
    </row>
    <row r="10" spans="1:24" ht="19.5" customHeight="1" x14ac:dyDescent="0.25">
      <c r="A10" s="115"/>
      <c r="B10" s="369"/>
      <c r="C10" s="371"/>
      <c r="D10" s="124">
        <v>0</v>
      </c>
      <c r="E10" s="106">
        <v>6</v>
      </c>
      <c r="F10" s="107" t="str">
        <f>BEGINBLAD!C10</f>
        <v>leerling 6</v>
      </c>
      <c r="G10" s="108">
        <f>'NIVEAU WAARDE - 1e toetsperiode'!E14</f>
        <v>3.7</v>
      </c>
      <c r="H10" s="109">
        <f>'NIVEAU WAARDE - 2e toetsperiode'!E14</f>
        <v>2.8</v>
      </c>
      <c r="I10" s="110" t="str">
        <f t="shared" si="0"/>
        <v>C-3</v>
      </c>
      <c r="J10" s="238" t="str">
        <f t="shared" si="1"/>
        <v>!</v>
      </c>
      <c r="K10" s="441" t="e">
        <f>#REF!</f>
        <v>#REF!</v>
      </c>
      <c r="L10" s="111">
        <v>2.4</v>
      </c>
      <c r="M10" s="110" t="str">
        <f t="shared" si="2"/>
        <v>C-4</v>
      </c>
      <c r="N10" s="238" t="e">
        <f t="shared" si="3"/>
        <v>#REF!</v>
      </c>
      <c r="O10" s="125"/>
      <c r="R10" s="159"/>
      <c r="S10" s="159"/>
      <c r="T10" s="159"/>
      <c r="U10" s="159"/>
      <c r="V10" s="159"/>
    </row>
    <row r="11" spans="1:24" ht="19.5" customHeight="1" x14ac:dyDescent="0.25">
      <c r="A11" s="115"/>
      <c r="B11" s="116"/>
      <c r="C11" s="117"/>
      <c r="D11" s="124">
        <v>0</v>
      </c>
      <c r="E11" s="106">
        <v>7</v>
      </c>
      <c r="F11" s="107" t="str">
        <f>BEGINBLAD!C11</f>
        <v>leerling 7</v>
      </c>
      <c r="G11" s="108">
        <f>'NIVEAU WAARDE - 1e toetsperiode'!E15</f>
        <v>4.3</v>
      </c>
      <c r="H11" s="109">
        <f>'NIVEAU WAARDE - 2e toetsperiode'!E15</f>
        <v>4.4000000000000004</v>
      </c>
      <c r="I11" s="110" t="str">
        <f t="shared" si="0"/>
        <v>A-1</v>
      </c>
      <c r="J11" s="238" t="str">
        <f t="shared" si="1"/>
        <v/>
      </c>
      <c r="K11" s="441" t="e">
        <f>#REF!</f>
        <v>#REF!</v>
      </c>
      <c r="L11" s="111">
        <v>3.2</v>
      </c>
      <c r="M11" s="110" t="str">
        <f t="shared" si="2"/>
        <v>B-3</v>
      </c>
      <c r="N11" s="238" t="e">
        <f t="shared" si="3"/>
        <v>#REF!</v>
      </c>
      <c r="O11" s="91"/>
      <c r="R11" s="159"/>
      <c r="S11" s="159"/>
      <c r="T11" s="159"/>
      <c r="U11" s="159"/>
      <c r="V11" s="159"/>
    </row>
    <row r="12" spans="1:24" ht="19.5" customHeight="1" x14ac:dyDescent="0.25">
      <c r="A12" s="115"/>
      <c r="B12" s="116"/>
      <c r="C12" s="117"/>
      <c r="D12" s="105">
        <v>0</v>
      </c>
      <c r="E12" s="106">
        <v>8</v>
      </c>
      <c r="F12" s="107" t="str">
        <f>BEGINBLAD!C12</f>
        <v>leerling 8</v>
      </c>
      <c r="G12" s="108">
        <f>'NIVEAU WAARDE - 1e toetsperiode'!E16</f>
        <v>4.9000000000000004</v>
      </c>
      <c r="H12" s="109">
        <f>'NIVEAU WAARDE - 2e toetsperiode'!E16</f>
        <v>4.5999999999999996</v>
      </c>
      <c r="I12" s="110" t="str">
        <f t="shared" si="0"/>
        <v>A-1+</v>
      </c>
      <c r="J12" s="238" t="str">
        <f t="shared" si="1"/>
        <v/>
      </c>
      <c r="K12" s="441" t="e">
        <f>#REF!</f>
        <v>#REF!</v>
      </c>
      <c r="L12" s="111">
        <v>3.8</v>
      </c>
      <c r="M12" s="110" t="str">
        <f t="shared" si="2"/>
        <v>B-2</v>
      </c>
      <c r="N12" s="238" t="e">
        <f t="shared" si="3"/>
        <v>#REF!</v>
      </c>
      <c r="O12" s="102"/>
      <c r="R12" s="159"/>
      <c r="S12" s="159"/>
      <c r="T12" s="159"/>
      <c r="U12" s="159"/>
      <c r="V12" s="159"/>
    </row>
    <row r="13" spans="1:24" ht="19.5" customHeight="1" x14ac:dyDescent="0.25">
      <c r="A13" s="115"/>
      <c r="B13" s="116"/>
      <c r="C13" s="117"/>
      <c r="D13" s="105">
        <v>0</v>
      </c>
      <c r="E13" s="106">
        <v>9</v>
      </c>
      <c r="F13" s="107" t="str">
        <f>BEGINBLAD!C13</f>
        <v>leerling 9</v>
      </c>
      <c r="G13" s="108">
        <f>'NIVEAU WAARDE - 1e toetsperiode'!E17</f>
        <v>3.3</v>
      </c>
      <c r="H13" s="109">
        <f>'NIVEAU WAARDE - 2e toetsperiode'!E17</f>
        <v>3.4</v>
      </c>
      <c r="I13" s="110" t="str">
        <f t="shared" si="0"/>
        <v>B-3</v>
      </c>
      <c r="J13" s="238" t="str">
        <f t="shared" si="1"/>
        <v/>
      </c>
      <c r="K13" s="441" t="e">
        <f>#REF!</f>
        <v>#REF!</v>
      </c>
      <c r="L13" s="111">
        <v>2.1</v>
      </c>
      <c r="M13" s="110" t="str">
        <f t="shared" si="2"/>
        <v>C-4</v>
      </c>
      <c r="N13" s="238" t="e">
        <f t="shared" si="3"/>
        <v>#REF!</v>
      </c>
      <c r="O13" s="113"/>
      <c r="R13" s="160"/>
      <c r="S13" s="160"/>
      <c r="T13" s="160"/>
      <c r="U13" s="160"/>
      <c r="V13" s="160"/>
    </row>
    <row r="14" spans="1:24" ht="19.5" customHeight="1" thickBot="1" x14ac:dyDescent="0.3">
      <c r="A14" s="115"/>
      <c r="B14" s="116"/>
      <c r="C14" s="117"/>
      <c r="D14" s="105">
        <v>0</v>
      </c>
      <c r="E14" s="106">
        <v>10</v>
      </c>
      <c r="F14" s="107" t="str">
        <f>BEGINBLAD!C14</f>
        <v>leerling 10</v>
      </c>
      <c r="G14" s="108">
        <f>'NIVEAU WAARDE - 1e toetsperiode'!E18</f>
        <v>4.3</v>
      </c>
      <c r="H14" s="109">
        <f>'NIVEAU WAARDE - 2e toetsperiode'!E18</f>
        <v>4.9000000000000004</v>
      </c>
      <c r="I14" s="110" t="str">
        <f t="shared" si="0"/>
        <v>A-1+</v>
      </c>
      <c r="J14" s="238" t="str">
        <f t="shared" si="1"/>
        <v>*</v>
      </c>
      <c r="K14" s="441" t="e">
        <f>#REF!</f>
        <v>#REF!</v>
      </c>
      <c r="L14" s="111">
        <v>4.8</v>
      </c>
      <c r="M14" s="110" t="str">
        <f t="shared" si="2"/>
        <v>A-1+</v>
      </c>
      <c r="N14" s="238" t="e">
        <f t="shared" si="3"/>
        <v>#REF!</v>
      </c>
      <c r="O14" s="120"/>
      <c r="P14" s="126" t="s">
        <v>13</v>
      </c>
      <c r="R14" s="160"/>
      <c r="S14" s="160"/>
      <c r="T14" s="160"/>
      <c r="U14" s="160"/>
      <c r="V14" s="160"/>
    </row>
    <row r="15" spans="1:24" ht="19.5" customHeight="1" x14ac:dyDescent="0.25">
      <c r="A15" s="115"/>
      <c r="B15" s="116"/>
      <c r="C15" s="117"/>
      <c r="D15" s="105">
        <v>0</v>
      </c>
      <c r="E15" s="106">
        <v>11</v>
      </c>
      <c r="F15" s="107" t="str">
        <f>BEGINBLAD!C15</f>
        <v>leerling 11</v>
      </c>
      <c r="G15" s="108">
        <f>'NIVEAU WAARDE - 1e toetsperiode'!E19</f>
        <v>4</v>
      </c>
      <c r="H15" s="109">
        <f>'NIVEAU WAARDE - 2e toetsperiode'!E19</f>
        <v>2</v>
      </c>
      <c r="I15" s="110" t="str">
        <f t="shared" si="0"/>
        <v>C-4</v>
      </c>
      <c r="J15" s="238" t="str">
        <f t="shared" si="1"/>
        <v>!</v>
      </c>
      <c r="K15" s="441" t="e">
        <f>#REF!</f>
        <v>#REF!</v>
      </c>
      <c r="L15" s="111">
        <v>3.5</v>
      </c>
      <c r="M15" s="110" t="str">
        <f t="shared" si="2"/>
        <v>B-2</v>
      </c>
      <c r="N15" s="238" t="e">
        <f t="shared" si="3"/>
        <v>#REF!</v>
      </c>
      <c r="O15" s="957" t="s">
        <v>70</v>
      </c>
      <c r="P15" s="962" t="e">
        <f>#REF!</f>
        <v>#REF!</v>
      </c>
      <c r="R15" s="160"/>
      <c r="S15" s="160"/>
      <c r="T15" s="160"/>
      <c r="U15" s="160"/>
      <c r="V15" s="160"/>
    </row>
    <row r="16" spans="1:24" ht="19.5" customHeight="1" x14ac:dyDescent="0.25">
      <c r="A16" s="115"/>
      <c r="B16" s="116"/>
      <c r="C16" s="117"/>
      <c r="D16" s="105">
        <v>0</v>
      </c>
      <c r="E16" s="106">
        <v>12</v>
      </c>
      <c r="F16" s="107" t="str">
        <f>BEGINBLAD!C16</f>
        <v>leerling 12</v>
      </c>
      <c r="G16" s="108">
        <f>'NIVEAU WAARDE - 1e toetsperiode'!E20</f>
        <v>3.3</v>
      </c>
      <c r="H16" s="109">
        <f>'NIVEAU WAARDE - 2e toetsperiode'!E20</f>
        <v>3.4</v>
      </c>
      <c r="I16" s="110" t="str">
        <f t="shared" si="0"/>
        <v>B-3</v>
      </c>
      <c r="J16" s="238" t="str">
        <f t="shared" si="1"/>
        <v/>
      </c>
      <c r="K16" s="441" t="e">
        <f>#REF!</f>
        <v>#REF!</v>
      </c>
      <c r="L16" s="111">
        <v>1.2</v>
      </c>
      <c r="M16" s="110" t="str">
        <f t="shared" si="2"/>
        <v>D-5</v>
      </c>
      <c r="N16" s="238" t="e">
        <f t="shared" si="3"/>
        <v>#REF!</v>
      </c>
      <c r="O16" s="958"/>
      <c r="P16" s="963"/>
      <c r="R16" s="160"/>
      <c r="S16" s="160"/>
      <c r="T16" s="160"/>
      <c r="U16" s="160"/>
      <c r="V16" s="160"/>
    </row>
    <row r="17" spans="1:24" ht="19.5" customHeight="1" x14ac:dyDescent="0.25">
      <c r="A17" s="115"/>
      <c r="B17" s="116"/>
      <c r="C17" s="117"/>
      <c r="D17" s="118">
        <v>0</v>
      </c>
      <c r="E17" s="106">
        <v>13</v>
      </c>
      <c r="F17" s="107" t="str">
        <f>BEGINBLAD!C17</f>
        <v>leerling 13</v>
      </c>
      <c r="G17" s="108">
        <f>'NIVEAU WAARDE - 1e toetsperiode'!E21</f>
        <v>4.5</v>
      </c>
      <c r="H17" s="109">
        <f>'NIVEAU WAARDE - 2e toetsperiode'!E21</f>
        <v>4.4000000000000004</v>
      </c>
      <c r="I17" s="110" t="str">
        <f t="shared" si="0"/>
        <v>A-1</v>
      </c>
      <c r="J17" s="238" t="str">
        <f t="shared" si="1"/>
        <v/>
      </c>
      <c r="K17" s="441" t="e">
        <f>#REF!</f>
        <v>#REF!</v>
      </c>
      <c r="L17" s="111">
        <v>3.5</v>
      </c>
      <c r="M17" s="110" t="str">
        <f t="shared" si="2"/>
        <v>B-2</v>
      </c>
      <c r="N17" s="238" t="e">
        <f t="shared" si="3"/>
        <v>#REF!</v>
      </c>
      <c r="O17" s="966" t="s">
        <v>71</v>
      </c>
      <c r="P17" s="964" t="e">
        <f>#REF!</f>
        <v>#REF!</v>
      </c>
      <c r="R17" s="133"/>
      <c r="S17" s="133"/>
      <c r="T17" s="133"/>
      <c r="U17" s="133"/>
      <c r="V17" s="133"/>
    </row>
    <row r="18" spans="1:24" ht="19.5" customHeight="1" x14ac:dyDescent="0.25">
      <c r="A18" s="115"/>
      <c r="B18" s="116"/>
      <c r="C18" s="117"/>
      <c r="D18" s="124">
        <v>0</v>
      </c>
      <c r="E18" s="106">
        <v>14</v>
      </c>
      <c r="F18" s="107" t="str">
        <f>BEGINBLAD!C18</f>
        <v>leerling 14</v>
      </c>
      <c r="G18" s="108">
        <f>'NIVEAU WAARDE - 1e toetsperiode'!E22</f>
        <v>3.3</v>
      </c>
      <c r="H18" s="109">
        <f>'NIVEAU WAARDE - 2e toetsperiode'!E22</f>
        <v>2.8</v>
      </c>
      <c r="I18" s="110" t="str">
        <f t="shared" si="0"/>
        <v>C-3</v>
      </c>
      <c r="J18" s="238" t="str">
        <f t="shared" si="1"/>
        <v/>
      </c>
      <c r="K18" s="441" t="e">
        <f>#REF!</f>
        <v>#REF!</v>
      </c>
      <c r="L18" s="111">
        <v>2.6</v>
      </c>
      <c r="M18" s="110" t="str">
        <f t="shared" si="2"/>
        <v>C-3</v>
      </c>
      <c r="N18" s="238" t="e">
        <f t="shared" si="3"/>
        <v>#REF!</v>
      </c>
      <c r="O18" s="966"/>
      <c r="P18" s="964"/>
      <c r="Q18" s="103"/>
      <c r="R18" s="127"/>
      <c r="S18" s="127"/>
      <c r="T18" s="127"/>
      <c r="U18" s="127"/>
      <c r="V18" s="127"/>
      <c r="W18" s="127"/>
    </row>
    <row r="19" spans="1:24" ht="19.5" customHeight="1" x14ac:dyDescent="0.3">
      <c r="D19" s="124">
        <v>0</v>
      </c>
      <c r="E19" s="106">
        <v>15</v>
      </c>
      <c r="F19" s="107" t="str">
        <f>BEGINBLAD!C19</f>
        <v>leerling 15</v>
      </c>
      <c r="G19" s="108">
        <f>'NIVEAU WAARDE - 1e toetsperiode'!E23</f>
        <v>4</v>
      </c>
      <c r="H19" s="109">
        <f>'NIVEAU WAARDE - 2e toetsperiode'!E23</f>
        <v>5</v>
      </c>
      <c r="I19" s="110" t="str">
        <f t="shared" si="0"/>
        <v>A-1+</v>
      </c>
      <c r="J19" s="238" t="str">
        <f t="shared" si="1"/>
        <v>*</v>
      </c>
      <c r="K19" s="441" t="e">
        <f>#REF!</f>
        <v>#REF!</v>
      </c>
      <c r="L19" s="111">
        <v>4.0999999999999996</v>
      </c>
      <c r="M19" s="110" t="str">
        <f t="shared" si="2"/>
        <v>A-1</v>
      </c>
      <c r="N19" s="238" t="e">
        <f t="shared" si="3"/>
        <v>#REF!</v>
      </c>
      <c r="O19" s="966"/>
      <c r="P19" s="964"/>
      <c r="Q19" s="129"/>
      <c r="R19" s="130"/>
      <c r="S19" s="130"/>
      <c r="T19" s="130"/>
      <c r="U19" s="131"/>
      <c r="V19" s="131"/>
      <c r="W19" s="131"/>
      <c r="X19" s="132"/>
    </row>
    <row r="20" spans="1:24" ht="19.5" customHeight="1" x14ac:dyDescent="0.25">
      <c r="D20" s="124">
        <v>0</v>
      </c>
      <c r="E20" s="106">
        <v>16</v>
      </c>
      <c r="F20" s="107" t="str">
        <f>BEGINBLAD!C20</f>
        <v>leerling 16</v>
      </c>
      <c r="G20" s="108">
        <f>'NIVEAU WAARDE - 1e toetsperiode'!E24</f>
        <v>4</v>
      </c>
      <c r="H20" s="109">
        <f>'NIVEAU WAARDE - 2e toetsperiode'!E24</f>
        <v>4.4000000000000004</v>
      </c>
      <c r="I20" s="110" t="str">
        <f t="shared" si="0"/>
        <v>A-1</v>
      </c>
      <c r="J20" s="238" t="str">
        <f t="shared" si="1"/>
        <v/>
      </c>
      <c r="K20" s="441" t="e">
        <f>#REF!</f>
        <v>#REF!</v>
      </c>
      <c r="L20" s="111">
        <v>3.2</v>
      </c>
      <c r="M20" s="110" t="str">
        <f t="shared" si="2"/>
        <v>B-3</v>
      </c>
      <c r="N20" s="238" t="e">
        <f t="shared" si="3"/>
        <v>#REF!</v>
      </c>
      <c r="O20" s="966"/>
      <c r="P20" s="964"/>
      <c r="Q20" s="129"/>
      <c r="R20" s="133"/>
      <c r="S20" s="133"/>
      <c r="T20" s="133"/>
      <c r="U20" s="133"/>
      <c r="V20" s="133"/>
      <c r="W20" s="133"/>
    </row>
    <row r="21" spans="1:24" ht="19.5" customHeight="1" x14ac:dyDescent="0.25">
      <c r="D21" s="124">
        <v>0</v>
      </c>
      <c r="E21" s="106">
        <v>17</v>
      </c>
      <c r="F21" s="107" t="str">
        <f>BEGINBLAD!C21</f>
        <v>leerling 17</v>
      </c>
      <c r="G21" s="108">
        <f>'NIVEAU WAARDE - 1e toetsperiode'!E25</f>
        <v>4.3</v>
      </c>
      <c r="H21" s="109">
        <f>'NIVEAU WAARDE - 2e toetsperiode'!E25</f>
        <v>4.9000000000000004</v>
      </c>
      <c r="I21" s="110" t="str">
        <f t="shared" si="0"/>
        <v>A-1+</v>
      </c>
      <c r="J21" s="238" t="str">
        <f t="shared" si="1"/>
        <v>*</v>
      </c>
      <c r="K21" s="441" t="e">
        <f>#REF!</f>
        <v>#REF!</v>
      </c>
      <c r="L21" s="111">
        <v>3.2</v>
      </c>
      <c r="M21" s="110" t="str">
        <f t="shared" si="2"/>
        <v>B-3</v>
      </c>
      <c r="N21" s="238" t="e">
        <f t="shared" si="3"/>
        <v>#REF!</v>
      </c>
      <c r="O21" s="966"/>
      <c r="P21" s="964"/>
      <c r="Q21" s="129"/>
      <c r="R21" s="133"/>
      <c r="S21" s="133"/>
      <c r="T21" s="133"/>
      <c r="U21" s="133"/>
      <c r="V21" s="133"/>
      <c r="W21" s="133"/>
    </row>
    <row r="22" spans="1:24" ht="19.5" customHeight="1" x14ac:dyDescent="0.25">
      <c r="D22" s="124">
        <v>0</v>
      </c>
      <c r="E22" s="106">
        <v>18</v>
      </c>
      <c r="F22" s="107" t="str">
        <f>BEGINBLAD!C22</f>
        <v>leerling 18</v>
      </c>
      <c r="G22" s="108">
        <f>'NIVEAU WAARDE - 1e toetsperiode'!E26</f>
        <v>4</v>
      </c>
      <c r="H22" s="109">
        <f>'NIVEAU WAARDE - 2e toetsperiode'!E26</f>
        <v>2.2999999999999998</v>
      </c>
      <c r="I22" s="110" t="str">
        <f t="shared" si="0"/>
        <v>C-4</v>
      </c>
      <c r="J22" s="238" t="str">
        <f t="shared" si="1"/>
        <v>!</v>
      </c>
      <c r="K22" s="441" t="e">
        <f>#REF!</f>
        <v>#REF!</v>
      </c>
      <c r="L22" s="111">
        <v>2.6</v>
      </c>
      <c r="M22" s="110" t="str">
        <f t="shared" si="2"/>
        <v>C-3</v>
      </c>
      <c r="N22" s="238" t="e">
        <f t="shared" si="3"/>
        <v>#REF!</v>
      </c>
      <c r="O22" s="966"/>
      <c r="P22" s="964"/>
      <c r="Q22" s="129"/>
      <c r="R22" s="133"/>
      <c r="S22" s="133"/>
      <c r="T22" s="133"/>
      <c r="U22" s="133"/>
      <c r="V22" s="133"/>
      <c r="W22" s="133"/>
    </row>
    <row r="23" spans="1:24" ht="19.5" customHeight="1" x14ac:dyDescent="0.25">
      <c r="B23" s="135"/>
      <c r="C23" s="135"/>
      <c r="D23" s="124">
        <v>0</v>
      </c>
      <c r="E23" s="106">
        <v>19</v>
      </c>
      <c r="F23" s="107" t="str">
        <f>BEGINBLAD!C23</f>
        <v>leerling 19</v>
      </c>
      <c r="G23" s="108">
        <f>'NIVEAU WAARDE - 1e toetsperiode'!E27</f>
        <v>3.7</v>
      </c>
      <c r="H23" s="109">
        <f>'NIVEAU WAARDE - 2e toetsperiode'!E27</f>
        <v>2.5</v>
      </c>
      <c r="I23" s="110" t="str">
        <f t="shared" si="0"/>
        <v>C-4</v>
      </c>
      <c r="J23" s="238" t="str">
        <f t="shared" si="1"/>
        <v>!</v>
      </c>
      <c r="K23" s="441" t="e">
        <f>#REF!</f>
        <v>#REF!</v>
      </c>
      <c r="L23" s="111">
        <v>2.4</v>
      </c>
      <c r="M23" s="110" t="str">
        <f t="shared" si="2"/>
        <v>C-4</v>
      </c>
      <c r="N23" s="238" t="e">
        <f t="shared" si="3"/>
        <v>#REF!</v>
      </c>
      <c r="O23" s="966"/>
      <c r="P23" s="964"/>
    </row>
    <row r="24" spans="1:24" ht="19.5" customHeight="1" thickBot="1" x14ac:dyDescent="0.3">
      <c r="B24" s="136"/>
      <c r="C24" s="135"/>
      <c r="D24" s="124">
        <v>0</v>
      </c>
      <c r="E24" s="106">
        <v>20</v>
      </c>
      <c r="F24" s="107" t="str">
        <f>BEGINBLAD!C24</f>
        <v>leerling 20</v>
      </c>
      <c r="G24" s="108">
        <f>'NIVEAU WAARDE - 1e toetsperiode'!E28</f>
        <v>2.4</v>
      </c>
      <c r="H24" s="109">
        <f>'NIVEAU WAARDE - 2e toetsperiode'!E28</f>
        <v>1.5</v>
      </c>
      <c r="I24" s="110" t="str">
        <f t="shared" si="0"/>
        <v>D-5</v>
      </c>
      <c r="J24" s="238" t="str">
        <f t="shared" si="1"/>
        <v>!</v>
      </c>
      <c r="K24" s="441" t="e">
        <f>#REF!</f>
        <v>#REF!</v>
      </c>
      <c r="L24" s="111">
        <v>1.9</v>
      </c>
      <c r="M24" s="110" t="str">
        <f t="shared" si="2"/>
        <v>D-4</v>
      </c>
      <c r="N24" s="238" t="e">
        <f t="shared" si="3"/>
        <v>#REF!</v>
      </c>
      <c r="O24" s="967"/>
      <c r="P24" s="965"/>
      <c r="Q24" s="129"/>
      <c r="R24" s="133"/>
      <c r="S24" s="133"/>
      <c r="T24" s="133"/>
      <c r="U24" s="133"/>
      <c r="V24" s="133"/>
      <c r="W24" s="133"/>
    </row>
    <row r="25" spans="1:24" ht="19.5" customHeight="1" thickBot="1" x14ac:dyDescent="0.3">
      <c r="B25" s="136"/>
      <c r="C25" s="135"/>
      <c r="D25" s="124">
        <v>0</v>
      </c>
      <c r="E25" s="106">
        <v>21</v>
      </c>
      <c r="F25" s="107" t="str">
        <f>BEGINBLAD!C25</f>
        <v>leerling 21</v>
      </c>
      <c r="G25" s="108">
        <f>'NIVEAU WAARDE - 1e toetsperiode'!E29</f>
        <v>2.2000000000000002</v>
      </c>
      <c r="H25" s="109">
        <f>'NIVEAU WAARDE - 2e toetsperiode'!E29</f>
        <v>2.2999999999999998</v>
      </c>
      <c r="I25" s="110" t="str">
        <f t="shared" si="0"/>
        <v>C-4</v>
      </c>
      <c r="J25" s="238" t="str">
        <f t="shared" si="1"/>
        <v/>
      </c>
      <c r="K25" s="441" t="e">
        <f>#REF!</f>
        <v>#REF!</v>
      </c>
      <c r="L25" s="111">
        <v>2.4</v>
      </c>
      <c r="M25" s="110" t="str">
        <f t="shared" si="2"/>
        <v>C-4</v>
      </c>
      <c r="N25" s="238" t="e">
        <f t="shared" si="3"/>
        <v>#REF!</v>
      </c>
      <c r="O25" s="120"/>
      <c r="P25" s="126" t="s">
        <v>14</v>
      </c>
      <c r="Q25" s="129"/>
      <c r="R25" s="133"/>
      <c r="S25" s="133"/>
      <c r="T25" s="133"/>
      <c r="U25" s="133"/>
      <c r="V25" s="133"/>
      <c r="W25" s="133"/>
    </row>
    <row r="26" spans="1:24" ht="19.5" customHeight="1" x14ac:dyDescent="0.25">
      <c r="D26" s="124">
        <v>0</v>
      </c>
      <c r="E26" s="106">
        <v>22</v>
      </c>
      <c r="F26" s="107" t="str">
        <f>BEGINBLAD!C26</f>
        <v>leerling 22</v>
      </c>
      <c r="G26" s="108">
        <f>'NIVEAU WAARDE - 1e toetsperiode'!E30</f>
        <v>4.7</v>
      </c>
      <c r="H26" s="109">
        <f>'NIVEAU WAARDE - 2e toetsperiode'!E30</f>
        <v>5</v>
      </c>
      <c r="I26" s="110" t="str">
        <f t="shared" si="0"/>
        <v>A-1+</v>
      </c>
      <c r="J26" s="238" t="str">
        <f t="shared" si="1"/>
        <v/>
      </c>
      <c r="K26" s="441" t="e">
        <f>#REF!</f>
        <v>#REF!</v>
      </c>
      <c r="L26" s="111">
        <v>4.5999999999999996</v>
      </c>
      <c r="M26" s="110" t="str">
        <f t="shared" si="2"/>
        <v>A-1+</v>
      </c>
      <c r="N26" s="238" t="e">
        <f t="shared" si="3"/>
        <v>#REF!</v>
      </c>
      <c r="O26" s="957" t="s">
        <v>70</v>
      </c>
      <c r="P26" s="962" t="e">
        <f>#REF!</f>
        <v>#REF!</v>
      </c>
      <c r="Q26" s="103"/>
      <c r="R26" s="127"/>
      <c r="S26" s="127"/>
      <c r="T26" s="127"/>
      <c r="U26" s="127"/>
      <c r="V26" s="127"/>
      <c r="W26" s="127"/>
    </row>
    <row r="27" spans="1:24" s="139" customFormat="1" ht="19.5" customHeight="1" x14ac:dyDescent="0.55000000000000004">
      <c r="A27" s="103"/>
      <c r="B27" s="913" t="s">
        <v>2</v>
      </c>
      <c r="C27" s="104" t="s">
        <v>72</v>
      </c>
      <c r="D27" s="118">
        <v>0</v>
      </c>
      <c r="E27" s="106">
        <v>23</v>
      </c>
      <c r="F27" s="107" t="str">
        <f>BEGINBLAD!C27</f>
        <v>leerling 23</v>
      </c>
      <c r="G27" s="108">
        <f>'NIVEAU WAARDE - 1e toetsperiode'!E31</f>
        <v>4.7</v>
      </c>
      <c r="H27" s="109">
        <f>'NIVEAU WAARDE - 2e toetsperiode'!E31</f>
        <v>5</v>
      </c>
      <c r="I27" s="110" t="str">
        <f t="shared" si="0"/>
        <v>A-1+</v>
      </c>
      <c r="J27" s="238" t="str">
        <f t="shared" si="1"/>
        <v/>
      </c>
      <c r="K27" s="441" t="e">
        <f>#REF!</f>
        <v>#REF!</v>
      </c>
      <c r="L27" s="111">
        <v>3.8</v>
      </c>
      <c r="M27" s="110" t="str">
        <f t="shared" si="2"/>
        <v>B-2</v>
      </c>
      <c r="N27" s="238" t="e">
        <f t="shared" si="3"/>
        <v>#REF!</v>
      </c>
      <c r="O27" s="958"/>
      <c r="P27" s="963"/>
      <c r="Q27" s="138"/>
      <c r="R27" s="138"/>
      <c r="S27" s="138"/>
      <c r="T27" s="138"/>
      <c r="U27" s="138"/>
      <c r="V27" s="138"/>
      <c r="W27" s="138"/>
    </row>
    <row r="28" spans="1:24" ht="19.5" customHeight="1" x14ac:dyDescent="0.6">
      <c r="A28" s="103"/>
      <c r="B28" s="913"/>
      <c r="C28" s="114" t="s">
        <v>69</v>
      </c>
      <c r="D28" s="118">
        <v>0</v>
      </c>
      <c r="E28" s="106">
        <v>24</v>
      </c>
      <c r="F28" s="107" t="str">
        <f>BEGINBLAD!C28</f>
        <v>leerling 24</v>
      </c>
      <c r="G28" s="108">
        <f>'NIVEAU WAARDE - 1e toetsperiode'!E32</f>
        <v>2.4</v>
      </c>
      <c r="H28" s="109">
        <f>'NIVEAU WAARDE - 2e toetsperiode'!E32</f>
        <v>4.9000000000000004</v>
      </c>
      <c r="I28" s="110" t="str">
        <f t="shared" si="0"/>
        <v>A-1+</v>
      </c>
      <c r="J28" s="238" t="str">
        <f t="shared" si="1"/>
        <v>*</v>
      </c>
      <c r="K28" s="441" t="e">
        <f>#REF!</f>
        <v>#REF!</v>
      </c>
      <c r="L28" s="111">
        <v>3.2</v>
      </c>
      <c r="M28" s="110" t="str">
        <f t="shared" si="2"/>
        <v>B-3</v>
      </c>
      <c r="N28" s="238" t="e">
        <f t="shared" si="3"/>
        <v>#REF!</v>
      </c>
      <c r="O28" s="958" t="s">
        <v>71</v>
      </c>
      <c r="P28" s="968" t="e">
        <f>#REF!</f>
        <v>#REF!</v>
      </c>
      <c r="Q28" s="91"/>
      <c r="R28" s="140"/>
      <c r="S28" s="102"/>
      <c r="T28" s="102"/>
      <c r="U28" s="102"/>
      <c r="V28" s="102"/>
      <c r="W28" s="102"/>
    </row>
    <row r="29" spans="1:24" ht="19.5" customHeight="1" x14ac:dyDescent="0.25">
      <c r="A29" s="115"/>
      <c r="B29" s="116"/>
      <c r="C29" s="117"/>
      <c r="D29" s="105">
        <v>0</v>
      </c>
      <c r="E29" s="106">
        <v>25</v>
      </c>
      <c r="F29" s="107" t="str">
        <f>BEGINBLAD!C29</f>
        <v>leerling 25</v>
      </c>
      <c r="G29" s="108">
        <f>'NIVEAU WAARDE - 1e toetsperiode'!E33</f>
        <v>4.5</v>
      </c>
      <c r="H29" s="109">
        <f>'NIVEAU WAARDE - 2e toetsperiode'!E33</f>
        <v>4.5999999999999996</v>
      </c>
      <c r="I29" s="110" t="str">
        <f t="shared" si="0"/>
        <v>A-1+</v>
      </c>
      <c r="J29" s="238" t="str">
        <f t="shared" si="1"/>
        <v/>
      </c>
      <c r="K29" s="441" t="e">
        <f>#REF!</f>
        <v>#REF!</v>
      </c>
      <c r="L29" s="111">
        <v>4.5999999999999996</v>
      </c>
      <c r="M29" s="110" t="str">
        <f t="shared" si="2"/>
        <v>A-1+</v>
      </c>
      <c r="N29" s="238" t="e">
        <f t="shared" si="3"/>
        <v>#REF!</v>
      </c>
      <c r="O29" s="958"/>
      <c r="P29" s="968"/>
      <c r="Q29" s="141"/>
      <c r="R29" s="130"/>
      <c r="S29" s="130"/>
      <c r="T29" s="130"/>
      <c r="U29" s="130"/>
      <c r="V29" s="130"/>
      <c r="W29" s="130"/>
    </row>
    <row r="30" spans="1:24" ht="19.5" customHeight="1" x14ac:dyDescent="0.25">
      <c r="A30" s="115"/>
      <c r="B30" s="116"/>
      <c r="C30" s="117"/>
      <c r="D30" s="105">
        <v>0</v>
      </c>
      <c r="E30" s="106">
        <v>26</v>
      </c>
      <c r="F30" s="107" t="str">
        <f>BEGINBLAD!C30</f>
        <v>leerling 26</v>
      </c>
      <c r="G30" s="108">
        <f>'NIVEAU WAARDE - 1e toetsperiode'!E34</f>
        <v>1.9</v>
      </c>
      <c r="H30" s="109">
        <f>'NIVEAU WAARDE - 2e toetsperiode'!E34</f>
        <v>2.2999999999999998</v>
      </c>
      <c r="I30" s="110" t="str">
        <f t="shared" si="0"/>
        <v>C-4</v>
      </c>
      <c r="J30" s="238" t="str">
        <f t="shared" si="1"/>
        <v/>
      </c>
      <c r="K30" s="137" t="e">
        <f>#REF!</f>
        <v>#REF!</v>
      </c>
      <c r="L30" s="111">
        <v>1.2</v>
      </c>
      <c r="M30" s="110" t="str">
        <f t="shared" si="2"/>
        <v>D-5</v>
      </c>
      <c r="N30" s="238" t="e">
        <f t="shared" si="3"/>
        <v>#REF!</v>
      </c>
      <c r="O30" s="958"/>
      <c r="P30" s="968"/>
      <c r="Q30" s="129"/>
      <c r="R30" s="133"/>
      <c r="S30" s="133"/>
      <c r="T30" s="133"/>
      <c r="U30" s="133"/>
      <c r="V30" s="133"/>
      <c r="W30" s="133"/>
    </row>
    <row r="31" spans="1:24" ht="19.5" customHeight="1" x14ac:dyDescent="0.25">
      <c r="A31" s="115"/>
      <c r="B31" s="116"/>
      <c r="C31" s="117"/>
      <c r="D31" s="105">
        <v>0</v>
      </c>
      <c r="E31" s="106">
        <v>27</v>
      </c>
      <c r="F31" s="107">
        <f>BEGINBLAD!C31</f>
        <v>0</v>
      </c>
      <c r="G31" s="108">
        <f>'NIVEAU WAARDE - 1e toetsperiode'!E35</f>
        <v>0</v>
      </c>
      <c r="H31" s="109">
        <f>'NIVEAU WAARDE - 2e toetsperiode'!E35</f>
        <v>0</v>
      </c>
      <c r="I31" s="110" t="str">
        <f t="shared" si="0"/>
        <v/>
      </c>
      <c r="J31" s="238" t="str">
        <f t="shared" si="1"/>
        <v/>
      </c>
      <c r="K31" s="137" t="e">
        <f>#REF!</f>
        <v>#REF!</v>
      </c>
      <c r="L31" s="111"/>
      <c r="M31" s="110" t="str">
        <f t="shared" si="2"/>
        <v/>
      </c>
      <c r="N31" s="238" t="str">
        <f t="shared" si="3"/>
        <v/>
      </c>
      <c r="O31" s="958"/>
      <c r="P31" s="968"/>
      <c r="Q31" s="129"/>
      <c r="R31" s="133"/>
      <c r="S31" s="133"/>
      <c r="T31" s="133"/>
      <c r="U31" s="133"/>
      <c r="V31" s="133"/>
      <c r="W31" s="133"/>
    </row>
    <row r="32" spans="1:24" ht="19.5" customHeight="1" x14ac:dyDescent="0.25">
      <c r="A32" s="115"/>
      <c r="B32" s="116"/>
      <c r="C32" s="117"/>
      <c r="D32" s="105">
        <v>0</v>
      </c>
      <c r="E32" s="106">
        <v>28</v>
      </c>
      <c r="F32" s="107">
        <f>BEGINBLAD!C32</f>
        <v>0</v>
      </c>
      <c r="G32" s="108">
        <f>'NIVEAU WAARDE - 1e toetsperiode'!E36</f>
        <v>0</v>
      </c>
      <c r="H32" s="109">
        <f>'NIVEAU WAARDE - 2e toetsperiode'!E36</f>
        <v>0</v>
      </c>
      <c r="I32" s="110" t="str">
        <f t="shared" si="0"/>
        <v/>
      </c>
      <c r="J32" s="238" t="str">
        <f t="shared" si="1"/>
        <v/>
      </c>
      <c r="K32" s="137" t="e">
        <f>#REF!</f>
        <v>#REF!</v>
      </c>
      <c r="L32" s="111"/>
      <c r="M32" s="110" t="str">
        <f t="shared" si="2"/>
        <v/>
      </c>
      <c r="N32" s="238" t="str">
        <f t="shared" si="3"/>
        <v/>
      </c>
      <c r="O32" s="958"/>
      <c r="P32" s="968"/>
      <c r="Q32" s="129"/>
      <c r="R32" s="133"/>
      <c r="S32" s="133"/>
      <c r="T32" s="133"/>
      <c r="U32" s="133"/>
      <c r="V32" s="133"/>
      <c r="W32" s="133"/>
    </row>
    <row r="33" spans="1:27" ht="19.5" customHeight="1" x14ac:dyDescent="0.25">
      <c r="A33" s="115"/>
      <c r="B33" s="116"/>
      <c r="C33" s="117"/>
      <c r="D33" s="105">
        <v>0</v>
      </c>
      <c r="E33" s="106">
        <v>29</v>
      </c>
      <c r="F33" s="107">
        <f>BEGINBLAD!C33</f>
        <v>0</v>
      </c>
      <c r="G33" s="108">
        <f>'NIVEAU WAARDE - 1e toetsperiode'!E37</f>
        <v>0</v>
      </c>
      <c r="H33" s="109">
        <f>'NIVEAU WAARDE - 2e toetsperiode'!E37</f>
        <v>0</v>
      </c>
      <c r="I33" s="110" t="str">
        <f t="shared" si="0"/>
        <v/>
      </c>
      <c r="J33" s="238" t="str">
        <f t="shared" si="1"/>
        <v/>
      </c>
      <c r="K33" s="137" t="e">
        <f>#REF!</f>
        <v>#REF!</v>
      </c>
      <c r="L33" s="111"/>
      <c r="M33" s="110" t="str">
        <f t="shared" si="2"/>
        <v/>
      </c>
      <c r="N33" s="238" t="str">
        <f t="shared" si="3"/>
        <v/>
      </c>
      <c r="O33" s="958"/>
      <c r="P33" s="968"/>
      <c r="Q33" s="129"/>
      <c r="R33" s="133"/>
      <c r="S33" s="133"/>
      <c r="T33" s="133"/>
      <c r="U33" s="133"/>
      <c r="V33" s="133"/>
      <c r="W33" s="133"/>
    </row>
    <row r="34" spans="1:27" ht="19.5" customHeight="1" x14ac:dyDescent="0.25">
      <c r="A34" s="115"/>
      <c r="B34" s="116"/>
      <c r="C34" s="117"/>
      <c r="D34" s="105">
        <v>0</v>
      </c>
      <c r="E34" s="106">
        <v>30</v>
      </c>
      <c r="F34" s="107">
        <f>BEGINBLAD!C34</f>
        <v>0</v>
      </c>
      <c r="G34" s="108">
        <f>'NIVEAU WAARDE - 1e toetsperiode'!E38</f>
        <v>0</v>
      </c>
      <c r="H34" s="109">
        <f>'NIVEAU WAARDE - 2e toetsperiode'!E38</f>
        <v>0</v>
      </c>
      <c r="I34" s="110" t="str">
        <f t="shared" si="0"/>
        <v/>
      </c>
      <c r="J34" s="238" t="str">
        <f t="shared" si="1"/>
        <v/>
      </c>
      <c r="K34" s="137" t="e">
        <f>#REF!</f>
        <v>#REF!</v>
      </c>
      <c r="L34" s="111"/>
      <c r="M34" s="110" t="str">
        <f t="shared" si="2"/>
        <v/>
      </c>
      <c r="N34" s="238" t="str">
        <f t="shared" si="3"/>
        <v/>
      </c>
      <c r="O34" s="958"/>
      <c r="P34" s="968"/>
      <c r="Q34" s="129"/>
      <c r="R34" s="133"/>
      <c r="S34" s="133"/>
      <c r="T34" s="133"/>
      <c r="U34" s="133"/>
      <c r="V34" s="133"/>
      <c r="W34" s="133"/>
    </row>
    <row r="35" spans="1:27" ht="19.5" customHeight="1" thickBot="1" x14ac:dyDescent="0.3">
      <c r="A35" s="115"/>
      <c r="B35" s="116"/>
      <c r="C35" s="117"/>
      <c r="D35" s="105">
        <v>0</v>
      </c>
      <c r="E35" s="106">
        <v>31</v>
      </c>
      <c r="F35" s="107">
        <f>BEGINBLAD!C35</f>
        <v>0</v>
      </c>
      <c r="G35" s="108">
        <f>'NIVEAU WAARDE - 1e toetsperiode'!E39</f>
        <v>0</v>
      </c>
      <c r="H35" s="109">
        <f>'NIVEAU WAARDE - 2e toetsperiode'!E39</f>
        <v>0</v>
      </c>
      <c r="I35" s="110" t="str">
        <f t="shared" si="0"/>
        <v/>
      </c>
      <c r="J35" s="238" t="str">
        <f t="shared" si="1"/>
        <v/>
      </c>
      <c r="K35" s="137" t="e">
        <f>#REF!</f>
        <v>#REF!</v>
      </c>
      <c r="L35" s="111"/>
      <c r="M35" s="110" t="str">
        <f t="shared" si="2"/>
        <v/>
      </c>
      <c r="N35" s="238" t="str">
        <f t="shared" si="3"/>
        <v/>
      </c>
      <c r="O35" s="959"/>
      <c r="P35" s="969"/>
      <c r="Q35" s="129"/>
      <c r="R35" s="133"/>
      <c r="S35" s="133"/>
      <c r="T35" s="133"/>
      <c r="U35" s="133"/>
      <c r="V35" s="133"/>
      <c r="W35" s="133"/>
    </row>
    <row r="36" spans="1:27" ht="19.5" customHeight="1" thickBot="1" x14ac:dyDescent="0.3">
      <c r="A36" s="115"/>
      <c r="B36" s="116"/>
      <c r="C36" s="117"/>
      <c r="D36" s="105">
        <v>0</v>
      </c>
      <c r="E36" s="106">
        <v>32</v>
      </c>
      <c r="F36" s="107">
        <f>BEGINBLAD!C36</f>
        <v>0</v>
      </c>
      <c r="G36" s="108">
        <f>'NIVEAU WAARDE - 1e toetsperiode'!E40</f>
        <v>0</v>
      </c>
      <c r="H36" s="109">
        <f>'NIVEAU WAARDE - 2e toetsperiode'!E40</f>
        <v>0</v>
      </c>
      <c r="I36" s="110" t="str">
        <f t="shared" si="0"/>
        <v/>
      </c>
      <c r="J36" s="238" t="str">
        <f t="shared" si="1"/>
        <v/>
      </c>
      <c r="K36" s="137" t="e">
        <f>#REF!</f>
        <v>#REF!</v>
      </c>
      <c r="L36" s="111"/>
      <c r="M36" s="110" t="str">
        <f t="shared" si="2"/>
        <v/>
      </c>
      <c r="N36" s="238" t="str">
        <f t="shared" si="3"/>
        <v/>
      </c>
      <c r="O36" s="120"/>
      <c r="P36" s="126" t="s">
        <v>12</v>
      </c>
      <c r="Q36" s="129"/>
      <c r="R36" s="133"/>
      <c r="S36" s="133"/>
      <c r="T36" s="133"/>
      <c r="U36" s="133"/>
      <c r="V36" s="133"/>
      <c r="W36" s="133"/>
    </row>
    <row r="37" spans="1:27" ht="19.5" customHeight="1" x14ac:dyDescent="0.25">
      <c r="A37" s="115"/>
      <c r="B37" s="116"/>
      <c r="C37" s="117"/>
      <c r="D37" s="105">
        <v>0</v>
      </c>
      <c r="E37" s="106">
        <v>33</v>
      </c>
      <c r="F37" s="107">
        <f>BEGINBLAD!C37</f>
        <v>0</v>
      </c>
      <c r="G37" s="108">
        <f>'NIVEAU WAARDE - 1e toetsperiode'!E41</f>
        <v>0</v>
      </c>
      <c r="H37" s="109">
        <f>'NIVEAU WAARDE - 2e toetsperiode'!E41</f>
        <v>0</v>
      </c>
      <c r="I37" s="110" t="str">
        <f t="shared" si="0"/>
        <v/>
      </c>
      <c r="J37" s="238" t="str">
        <f t="shared" si="1"/>
        <v/>
      </c>
      <c r="K37" s="137" t="e">
        <f>#REF!</f>
        <v>#REF!</v>
      </c>
      <c r="L37" s="111"/>
      <c r="M37" s="110" t="str">
        <f t="shared" si="2"/>
        <v/>
      </c>
      <c r="N37" s="238" t="str">
        <f t="shared" si="3"/>
        <v/>
      </c>
      <c r="O37" s="957" t="s">
        <v>70</v>
      </c>
      <c r="P37" s="962" t="str">
        <f>'VERRIJKT - 2e periode'!C17</f>
        <v>Motivatie behouden.</v>
      </c>
      <c r="Q37" s="129"/>
      <c r="R37" s="133"/>
      <c r="S37" s="133"/>
      <c r="T37" s="133"/>
      <c r="U37" s="133"/>
      <c r="V37" s="133"/>
      <c r="W37" s="133"/>
    </row>
    <row r="38" spans="1:27" ht="19.5" customHeight="1" x14ac:dyDescent="0.25">
      <c r="A38" s="115"/>
      <c r="B38" s="116"/>
      <c r="C38" s="117"/>
      <c r="D38" s="105">
        <v>0</v>
      </c>
      <c r="E38" s="106">
        <v>34</v>
      </c>
      <c r="F38" s="107">
        <f>BEGINBLAD!C38</f>
        <v>0</v>
      </c>
      <c r="G38" s="108">
        <f>'NIVEAU WAARDE - 1e toetsperiode'!E42</f>
        <v>0</v>
      </c>
      <c r="H38" s="109">
        <f>'NIVEAU WAARDE - 2e toetsperiode'!E42</f>
        <v>0</v>
      </c>
      <c r="I38" s="110" t="str">
        <f t="shared" si="0"/>
        <v/>
      </c>
      <c r="J38" s="238" t="str">
        <f t="shared" si="1"/>
        <v/>
      </c>
      <c r="K38" s="137" t="e">
        <f>#REF!</f>
        <v>#REF!</v>
      </c>
      <c r="L38" s="111"/>
      <c r="M38" s="110" t="str">
        <f t="shared" si="2"/>
        <v/>
      </c>
      <c r="N38" s="238" t="str">
        <f t="shared" si="3"/>
        <v/>
      </c>
      <c r="O38" s="958"/>
      <c r="P38" s="963"/>
      <c r="Q38" s="129"/>
      <c r="R38" s="133"/>
      <c r="S38" s="133"/>
      <c r="T38" s="133"/>
      <c r="U38" s="133"/>
      <c r="V38" s="133"/>
      <c r="W38" s="133"/>
    </row>
    <row r="39" spans="1:27" ht="19.5" customHeight="1" x14ac:dyDescent="0.25">
      <c r="A39" s="115"/>
      <c r="B39" s="116"/>
      <c r="C39" s="117"/>
      <c r="D39" s="105">
        <v>0</v>
      </c>
      <c r="E39" s="106">
        <v>35</v>
      </c>
      <c r="F39" s="107">
        <f>BEGINBLAD!C39</f>
        <v>0</v>
      </c>
      <c r="G39" s="108">
        <f>'NIVEAU WAARDE - 1e toetsperiode'!E43</f>
        <v>0</v>
      </c>
      <c r="H39" s="109">
        <f>'NIVEAU WAARDE - 2e toetsperiode'!E43</f>
        <v>0</v>
      </c>
      <c r="I39" s="110" t="str">
        <f t="shared" si="0"/>
        <v/>
      </c>
      <c r="J39" s="238" t="str">
        <f t="shared" si="1"/>
        <v/>
      </c>
      <c r="K39" s="137" t="e">
        <f>#REF!</f>
        <v>#REF!</v>
      </c>
      <c r="L39" s="111"/>
      <c r="M39" s="110" t="str">
        <f t="shared" si="2"/>
        <v/>
      </c>
      <c r="N39" s="238" t="str">
        <f t="shared" si="3"/>
        <v/>
      </c>
      <c r="O39" s="958" t="s">
        <v>71</v>
      </c>
      <c r="P39" s="955" t="str">
        <f>'VERRIJKT - 2e periode'!C19</f>
        <v>Compacte route spelling (lessen) voor: T, M, N, K, N
Dinsdag geen dictee JS=&gt; weektaaktijd</v>
      </c>
      <c r="Q39" s="129"/>
      <c r="R39" s="133"/>
      <c r="S39" s="133"/>
      <c r="T39" s="133"/>
      <c r="U39" s="133"/>
      <c r="V39" s="133"/>
      <c r="W39" s="133"/>
    </row>
    <row r="40" spans="1:27" s="103" customFormat="1" ht="19.5" customHeight="1" thickBot="1" x14ac:dyDescent="0.3">
      <c r="A40" s="115"/>
      <c r="B40" s="116"/>
      <c r="C40" s="117"/>
      <c r="D40" s="105">
        <v>0</v>
      </c>
      <c r="E40" s="142">
        <v>36</v>
      </c>
      <c r="F40" s="143">
        <f>BEGINBLAD!C40</f>
        <v>0</v>
      </c>
      <c r="G40" s="144">
        <f>'NIVEAU WAARDE - 1e toetsperiode'!E44</f>
        <v>0</v>
      </c>
      <c r="H40" s="145">
        <f>'NIVEAU WAARDE - 2e toetsperiode'!E44</f>
        <v>0</v>
      </c>
      <c r="I40" s="146" t="str">
        <f t="shared" si="0"/>
        <v/>
      </c>
      <c r="J40" s="238" t="str">
        <f t="shared" si="1"/>
        <v/>
      </c>
      <c r="K40" s="247" t="e">
        <f>#REF!</f>
        <v>#REF!</v>
      </c>
      <c r="L40" s="764"/>
      <c r="M40" s="146" t="str">
        <f t="shared" si="2"/>
        <v/>
      </c>
      <c r="N40" s="238" t="str">
        <f t="shared" si="3"/>
        <v/>
      </c>
      <c r="O40" s="958"/>
      <c r="P40" s="955"/>
      <c r="Q40" s="129"/>
      <c r="R40" s="133"/>
      <c r="S40" s="133"/>
      <c r="T40" s="133"/>
      <c r="U40" s="133"/>
      <c r="V40" s="133"/>
      <c r="W40" s="133"/>
      <c r="X40" s="127"/>
      <c r="Y40" s="127"/>
      <c r="Z40" s="127"/>
      <c r="AA40" s="127"/>
    </row>
    <row r="41" spans="1:27" ht="19.5" customHeight="1" thickBot="1" x14ac:dyDescent="0.35">
      <c r="A41" s="148"/>
      <c r="B41" s="149"/>
      <c r="C41" s="970" t="s">
        <v>13</v>
      </c>
      <c r="D41" s="970"/>
      <c r="E41" s="970"/>
      <c r="F41" s="970"/>
      <c r="G41" s="971" t="s">
        <v>12</v>
      </c>
      <c r="H41" s="971"/>
      <c r="I41" s="971"/>
      <c r="J41" s="971"/>
      <c r="K41" s="971"/>
      <c r="L41" s="971"/>
      <c r="M41" s="971"/>
      <c r="O41" s="958"/>
      <c r="P41" s="955"/>
      <c r="Q41" s="129"/>
      <c r="R41" s="150"/>
      <c r="S41" s="150"/>
      <c r="T41" s="150"/>
      <c r="U41" s="150"/>
      <c r="V41" s="150"/>
      <c r="W41" s="150"/>
    </row>
    <row r="42" spans="1:27" ht="19.5" customHeight="1" x14ac:dyDescent="0.25">
      <c r="A42" s="129"/>
      <c r="B42" s="169"/>
      <c r="C42" s="176" t="s">
        <v>73</v>
      </c>
      <c r="D42" s="972"/>
      <c r="E42" s="973"/>
      <c r="F42" s="1004"/>
      <c r="G42" s="975" t="s">
        <v>73</v>
      </c>
      <c r="H42" s="976"/>
      <c r="I42" s="997"/>
      <c r="J42" s="997"/>
      <c r="K42" s="997"/>
      <c r="L42" s="997"/>
      <c r="M42" s="998"/>
      <c r="O42" s="958"/>
      <c r="P42" s="955"/>
      <c r="Q42" s="129"/>
      <c r="R42" s="150"/>
      <c r="S42" s="150"/>
      <c r="T42" s="150"/>
      <c r="U42" s="150"/>
      <c r="V42" s="150"/>
      <c r="W42" s="150"/>
    </row>
    <row r="43" spans="1:27" ht="19.5" customHeight="1" x14ac:dyDescent="0.25">
      <c r="A43" s="129"/>
      <c r="B43" s="170"/>
      <c r="C43" s="177" t="s">
        <v>74</v>
      </c>
      <c r="D43" s="977"/>
      <c r="E43" s="978"/>
      <c r="F43" s="1009"/>
      <c r="G43" s="980" t="s">
        <v>74</v>
      </c>
      <c r="H43" s="981"/>
      <c r="I43" s="999"/>
      <c r="J43" s="999"/>
      <c r="K43" s="999"/>
      <c r="L43" s="999"/>
      <c r="M43" s="1000"/>
      <c r="O43" s="958"/>
      <c r="P43" s="955"/>
      <c r="Q43" s="129"/>
      <c r="R43" s="150"/>
      <c r="S43" s="150"/>
      <c r="T43" s="150"/>
      <c r="U43" s="150"/>
      <c r="V43" s="150"/>
      <c r="W43" s="150"/>
    </row>
    <row r="44" spans="1:27" ht="19.5" customHeight="1" x14ac:dyDescent="0.25">
      <c r="A44" s="129"/>
      <c r="B44" s="170"/>
      <c r="C44" s="177" t="s">
        <v>75</v>
      </c>
      <c r="D44" s="977"/>
      <c r="E44" s="978"/>
      <c r="F44" s="1009"/>
      <c r="G44" s="980" t="s">
        <v>75</v>
      </c>
      <c r="H44" s="981"/>
      <c r="I44" s="999"/>
      <c r="J44" s="999"/>
      <c r="K44" s="999"/>
      <c r="L44" s="999"/>
      <c r="M44" s="1000"/>
      <c r="O44" s="958"/>
      <c r="P44" s="955"/>
      <c r="Q44" s="129"/>
      <c r="R44" s="150"/>
      <c r="S44" s="150"/>
      <c r="T44" s="150"/>
      <c r="U44" s="150"/>
      <c r="V44" s="150"/>
      <c r="W44" s="150"/>
    </row>
    <row r="45" spans="1:27" ht="19.5" customHeight="1" x14ac:dyDescent="0.25">
      <c r="A45" s="129"/>
      <c r="B45" s="170"/>
      <c r="C45" s="177" t="s">
        <v>76</v>
      </c>
      <c r="D45" s="977"/>
      <c r="E45" s="978"/>
      <c r="F45" s="1009"/>
      <c r="G45" s="980" t="s">
        <v>76</v>
      </c>
      <c r="H45" s="981"/>
      <c r="I45" s="999"/>
      <c r="J45" s="999"/>
      <c r="K45" s="999"/>
      <c r="L45" s="999"/>
      <c r="M45" s="1000"/>
      <c r="O45" s="958"/>
      <c r="P45" s="955"/>
      <c r="Q45" s="129"/>
      <c r="R45" s="150"/>
      <c r="S45" s="150"/>
      <c r="T45" s="150"/>
      <c r="U45" s="150"/>
      <c r="V45" s="150"/>
      <c r="W45" s="150"/>
    </row>
    <row r="46" spans="1:27" ht="19.5" customHeight="1" thickBot="1" x14ac:dyDescent="0.3">
      <c r="A46" s="129"/>
      <c r="B46" s="170"/>
      <c r="C46" s="178" t="s">
        <v>77</v>
      </c>
      <c r="D46" s="989"/>
      <c r="E46" s="990"/>
      <c r="F46" s="1013"/>
      <c r="G46" s="992" t="s">
        <v>77</v>
      </c>
      <c r="H46" s="993"/>
      <c r="I46" s="1002"/>
      <c r="J46" s="1002"/>
      <c r="K46" s="1002"/>
      <c r="L46" s="1002"/>
      <c r="M46" s="1003"/>
      <c r="O46" s="959"/>
      <c r="P46" s="956"/>
      <c r="Q46" s="129"/>
      <c r="R46" s="133"/>
      <c r="S46" s="133"/>
      <c r="T46" s="133"/>
      <c r="U46" s="133"/>
      <c r="V46" s="133"/>
      <c r="W46" s="133"/>
    </row>
    <row r="47" spans="1:27" x14ac:dyDescent="0.25">
      <c r="B47" s="151"/>
      <c r="C47" s="156"/>
      <c r="D47" s="466"/>
      <c r="E47" s="467"/>
      <c r="F47" s="467"/>
      <c r="G47" s="467"/>
      <c r="H47" s="200"/>
      <c r="I47" s="153"/>
      <c r="J47" s="153"/>
      <c r="K47" s="1001" t="s">
        <v>7</v>
      </c>
      <c r="L47" s="1001"/>
      <c r="M47" s="1001"/>
      <c r="N47" s="152"/>
      <c r="O47" s="161"/>
      <c r="P47" s="161"/>
      <c r="Q47" s="129"/>
      <c r="R47" s="133"/>
      <c r="S47" s="133"/>
      <c r="T47" s="133"/>
      <c r="U47" s="133"/>
      <c r="V47" s="133"/>
      <c r="W47" s="133"/>
    </row>
    <row r="48" spans="1:27" x14ac:dyDescent="0.25">
      <c r="B48" s="171"/>
      <c r="C48" s="164"/>
      <c r="D48" s="212">
        <f>BEGINBLAD!$D$41</f>
        <v>26</v>
      </c>
      <c r="E48" s="202"/>
      <c r="F48" s="203" t="s">
        <v>78</v>
      </c>
      <c r="G48" s="211">
        <f>H48/$D$49</f>
        <v>0.42307692307692307</v>
      </c>
      <c r="H48" s="124">
        <f>COUNTIF($I$5:$I$40,"A-1+")</f>
        <v>11</v>
      </c>
      <c r="I48" s="124"/>
      <c r="J48" s="201" t="s">
        <v>79</v>
      </c>
      <c r="K48" s="201"/>
      <c r="L48" s="201"/>
      <c r="M48" s="227">
        <f>G48+G49+G50+G51+G52</f>
        <v>0.76923076923076916</v>
      </c>
      <c r="N48" s="227">
        <v>1</v>
      </c>
      <c r="O48" s="228"/>
      <c r="P48" s="152"/>
      <c r="Q48" s="129"/>
      <c r="R48" s="133"/>
      <c r="S48" s="133"/>
      <c r="T48" s="133"/>
      <c r="U48" s="133"/>
      <c r="V48" s="133"/>
      <c r="W48" s="133"/>
    </row>
    <row r="49" spans="2:23" x14ac:dyDescent="0.25">
      <c r="B49" s="171"/>
      <c r="C49" s="164"/>
      <c r="D49" s="208">
        <f>COUNTIF(H5:H40,"&gt;0")</f>
        <v>26</v>
      </c>
      <c r="E49" s="202"/>
      <c r="F49" s="203" t="s">
        <v>80</v>
      </c>
      <c r="G49" s="211">
        <f>H49/$D$49</f>
        <v>0.15384615384615385</v>
      </c>
      <c r="H49" s="124">
        <f>COUNTIF($I$5:$I$40,"A-1")</f>
        <v>4</v>
      </c>
      <c r="I49" s="124"/>
      <c r="J49" s="201"/>
      <c r="K49" s="201"/>
      <c r="L49" s="201"/>
      <c r="M49" s="227"/>
      <c r="N49" s="227">
        <v>0.7</v>
      </c>
      <c r="O49" s="229"/>
      <c r="P49" s="163"/>
      <c r="Q49" s="129"/>
      <c r="R49" s="133"/>
      <c r="S49" s="133"/>
      <c r="T49" s="133"/>
      <c r="U49" s="133"/>
      <c r="V49" s="133"/>
      <c r="W49" s="133"/>
    </row>
    <row r="50" spans="2:23" x14ac:dyDescent="0.25">
      <c r="B50" s="171"/>
      <c r="C50" s="164"/>
      <c r="D50" s="204"/>
      <c r="E50" s="202"/>
      <c r="F50" s="205" t="s">
        <v>81</v>
      </c>
      <c r="G50" s="211">
        <f>(H50+I50)/$D$49</f>
        <v>0</v>
      </c>
      <c r="H50" s="124">
        <f>COUNTIF($I$5:$I$40,"A-2")</f>
        <v>0</v>
      </c>
      <c r="I50" s="124">
        <f>COUNTIF($I$5:$I$40,"B-2")</f>
        <v>0</v>
      </c>
      <c r="J50" s="201"/>
      <c r="K50" s="201"/>
      <c r="L50" s="201"/>
      <c r="M50" s="227"/>
      <c r="N50" s="227">
        <v>0.6</v>
      </c>
      <c r="O50" s="229"/>
      <c r="P50" s="163"/>
      <c r="Q50" s="129"/>
      <c r="R50" s="133"/>
      <c r="S50" s="133"/>
      <c r="T50" s="133"/>
      <c r="U50" s="133"/>
      <c r="V50" s="133"/>
      <c r="W50" s="133"/>
    </row>
    <row r="51" spans="2:23" x14ac:dyDescent="0.25">
      <c r="B51" s="171"/>
      <c r="C51" s="164"/>
      <c r="D51" s="204"/>
      <c r="E51" s="202"/>
      <c r="F51" s="203" t="s">
        <v>82</v>
      </c>
      <c r="G51" s="211">
        <f>H51/$D$49</f>
        <v>7.6923076923076927E-2</v>
      </c>
      <c r="H51" s="124">
        <f>COUNTIF($I$5:$I$40,"B-3")</f>
        <v>2</v>
      </c>
      <c r="I51" s="124"/>
      <c r="J51" s="201"/>
      <c r="K51" s="201"/>
      <c r="L51" s="201"/>
      <c r="M51" s="227"/>
      <c r="N51" s="227">
        <f>$M$48</f>
        <v>0.76923076923076916</v>
      </c>
      <c r="O51" s="229"/>
      <c r="P51" s="163"/>
      <c r="Q51" s="129"/>
      <c r="R51" s="133"/>
      <c r="S51" s="133"/>
      <c r="T51" s="133"/>
      <c r="U51" s="133"/>
      <c r="V51" s="133"/>
      <c r="W51" s="133"/>
    </row>
    <row r="52" spans="2:23" x14ac:dyDescent="0.25">
      <c r="B52" s="171"/>
      <c r="C52" s="164"/>
      <c r="D52" s="204"/>
      <c r="E52" s="202"/>
      <c r="F52" s="203" t="s">
        <v>83</v>
      </c>
      <c r="G52" s="211">
        <f>H52/$D$49</f>
        <v>0.11538461538461539</v>
      </c>
      <c r="H52" s="124">
        <f>COUNTIF($I$5:$I$40,"c-3")</f>
        <v>3</v>
      </c>
      <c r="I52" s="124"/>
      <c r="J52" s="201" t="s">
        <v>84</v>
      </c>
      <c r="K52" s="201"/>
      <c r="L52" s="201"/>
      <c r="M52" s="227">
        <f>G53+G54+G55+G57</f>
        <v>0.23076923076923078</v>
      </c>
      <c r="N52" s="230"/>
      <c r="O52" s="229"/>
      <c r="P52" s="163"/>
      <c r="Q52" s="129"/>
      <c r="R52" s="133"/>
      <c r="S52" s="133"/>
      <c r="T52" s="133"/>
      <c r="U52" s="133"/>
      <c r="V52" s="133"/>
      <c r="W52" s="133"/>
    </row>
    <row r="53" spans="2:23" x14ac:dyDescent="0.25">
      <c r="B53" s="171"/>
      <c r="C53" s="164"/>
      <c r="D53" s="204"/>
      <c r="E53" s="202"/>
      <c r="F53" s="205" t="s">
        <v>85</v>
      </c>
      <c r="G53" s="211">
        <f>H53/$D$49</f>
        <v>0.19230769230769232</v>
      </c>
      <c r="H53" s="124">
        <f>COUNTIF($I$5:$I$40,"c-4")</f>
        <v>5</v>
      </c>
      <c r="I53" s="212"/>
      <c r="J53" s="201"/>
      <c r="K53" s="201"/>
      <c r="L53" s="201"/>
      <c r="M53" s="227"/>
      <c r="N53" s="230"/>
      <c r="O53" s="229"/>
      <c r="P53" s="163"/>
      <c r="Q53" s="129"/>
      <c r="R53" s="133"/>
      <c r="S53" s="133"/>
      <c r="T53" s="133"/>
      <c r="U53" s="133"/>
      <c r="V53" s="133"/>
      <c r="W53" s="133"/>
    </row>
    <row r="54" spans="2:23" x14ac:dyDescent="0.25">
      <c r="B54" s="171"/>
      <c r="C54" s="164"/>
      <c r="D54" s="204"/>
      <c r="E54" s="202"/>
      <c r="F54" s="202" t="s">
        <v>86</v>
      </c>
      <c r="G54" s="211">
        <f>H54/$D$49</f>
        <v>0</v>
      </c>
      <c r="H54" s="124">
        <f>COUNTIF($I$5:$I$40,"d-4")</f>
        <v>0</v>
      </c>
      <c r="I54" s="212"/>
      <c r="J54" s="201"/>
      <c r="K54" s="201"/>
      <c r="L54" s="201"/>
      <c r="M54" s="227"/>
      <c r="N54" s="230"/>
      <c r="O54" s="229"/>
      <c r="P54" s="163"/>
      <c r="Q54" s="129"/>
      <c r="R54" s="133"/>
      <c r="S54" s="133"/>
      <c r="T54" s="133"/>
      <c r="U54" s="133"/>
      <c r="V54" s="133"/>
      <c r="W54" s="133"/>
    </row>
    <row r="55" spans="2:23" x14ac:dyDescent="0.25">
      <c r="B55" s="171"/>
      <c r="C55" s="164"/>
      <c r="D55" s="204"/>
      <c r="E55" s="202"/>
      <c r="F55" s="203" t="s">
        <v>87</v>
      </c>
      <c r="G55" s="211">
        <f>(H55+I55)/$D$49</f>
        <v>3.8461538461538464E-2</v>
      </c>
      <c r="H55" s="124">
        <f>COUNTIF($I$5:$I$40,"d-5")</f>
        <v>1</v>
      </c>
      <c r="I55" s="124">
        <f>COUNTIF($I$5:$I$40,"e-5")</f>
        <v>0</v>
      </c>
      <c r="J55" s="201"/>
      <c r="K55" s="201"/>
      <c r="L55" s="201"/>
      <c r="M55" s="227"/>
      <c r="N55" s="230"/>
      <c r="O55" s="229"/>
      <c r="P55" s="163"/>
      <c r="Q55" s="129"/>
      <c r="R55" s="133"/>
      <c r="S55" s="133"/>
      <c r="T55" s="133"/>
      <c r="U55" s="133"/>
      <c r="V55" s="133"/>
      <c r="W55" s="133"/>
    </row>
    <row r="56" spans="2:23" x14ac:dyDescent="0.25">
      <c r="B56" s="171"/>
      <c r="C56" s="164"/>
      <c r="D56" s="204"/>
      <c r="E56" s="202"/>
      <c r="F56" s="203"/>
      <c r="G56" s="211"/>
      <c r="H56" s="124"/>
      <c r="I56" s="124"/>
      <c r="J56" s="201" t="s">
        <v>0</v>
      </c>
      <c r="K56" s="201"/>
      <c r="L56" s="201"/>
      <c r="M56" s="227">
        <f>M48+M52</f>
        <v>1</v>
      </c>
      <c r="N56" s="845"/>
      <c r="O56" s="229"/>
      <c r="P56" s="163"/>
      <c r="Q56" s="129"/>
      <c r="R56" s="133"/>
      <c r="S56" s="133"/>
      <c r="T56" s="133"/>
      <c r="U56" s="133"/>
      <c r="V56" s="133"/>
      <c r="W56" s="133"/>
    </row>
    <row r="57" spans="2:23" x14ac:dyDescent="0.25">
      <c r="B57" s="171"/>
      <c r="C57" s="164"/>
      <c r="D57" s="204"/>
      <c r="E57" s="202"/>
      <c r="F57" s="206" t="s">
        <v>88</v>
      </c>
      <c r="G57" s="211">
        <f>H57/$D$49</f>
        <v>0</v>
      </c>
      <c r="H57" s="124">
        <f>COUNTIF($I$5:$I$40,"e-5-")</f>
        <v>0</v>
      </c>
      <c r="I57" s="124"/>
      <c r="J57" s="201"/>
      <c r="K57" s="201"/>
      <c r="L57" s="201"/>
      <c r="M57" s="227"/>
      <c r="N57" s="845"/>
      <c r="O57" s="229"/>
      <c r="P57" s="163"/>
      <c r="Q57" s="129"/>
      <c r="R57" s="133"/>
      <c r="S57" s="133"/>
      <c r="T57" s="133"/>
      <c r="U57" s="133"/>
      <c r="V57" s="133"/>
      <c r="W57" s="133"/>
    </row>
    <row r="58" spans="2:23" x14ac:dyDescent="0.25">
      <c r="B58" s="171"/>
      <c r="C58" s="156"/>
      <c r="D58" s="204"/>
      <c r="E58" s="202"/>
      <c r="F58" s="203" t="s">
        <v>0</v>
      </c>
      <c r="G58" s="207">
        <f>SUM(G48:G57)</f>
        <v>0.99999999999999989</v>
      </c>
      <c r="H58" s="460">
        <f>SUM(H48:H57)</f>
        <v>26</v>
      </c>
      <c r="I58" s="239">
        <f>SUM(I48:I57)</f>
        <v>0</v>
      </c>
      <c r="J58" s="212"/>
      <c r="K58" s="212"/>
      <c r="L58" s="228"/>
      <c r="M58" s="228"/>
      <c r="N58" s="228"/>
      <c r="O58" s="228"/>
      <c r="P58" s="161"/>
      <c r="Q58" s="129"/>
      <c r="R58" s="133"/>
      <c r="S58" s="133"/>
      <c r="T58" s="133"/>
      <c r="U58" s="133"/>
      <c r="V58" s="133"/>
      <c r="W58" s="133"/>
    </row>
    <row r="59" spans="2:23" x14ac:dyDescent="0.25">
      <c r="B59" s="171"/>
      <c r="C59" s="156"/>
      <c r="D59" s="204"/>
      <c r="E59" s="202"/>
      <c r="F59" s="199"/>
      <c r="G59" s="199"/>
      <c r="H59" s="212">
        <f>SUM(H58+I58)</f>
        <v>26</v>
      </c>
      <c r="I59" s="212"/>
      <c r="J59" s="212"/>
      <c r="K59" s="212"/>
      <c r="L59" s="228"/>
      <c r="M59" s="228"/>
      <c r="N59" s="228"/>
      <c r="O59" s="228"/>
      <c r="P59" s="161"/>
      <c r="Q59" s="129"/>
      <c r="R59" s="133"/>
      <c r="S59" s="133"/>
      <c r="T59" s="133"/>
      <c r="U59" s="133"/>
      <c r="V59" s="133"/>
      <c r="W59" s="133"/>
    </row>
    <row r="60" spans="2:23" x14ac:dyDescent="0.25">
      <c r="B60" s="171"/>
      <c r="C60" s="156"/>
      <c r="D60" s="208"/>
      <c r="E60" s="199"/>
      <c r="F60" s="202"/>
      <c r="G60" s="211"/>
      <c r="H60" s="200"/>
      <c r="I60" s="200"/>
      <c r="J60" s="200"/>
      <c r="K60" s="200"/>
      <c r="L60" s="228"/>
      <c r="M60" s="228"/>
      <c r="N60" s="228"/>
      <c r="O60" s="228"/>
      <c r="P60" s="161"/>
      <c r="Q60" s="129"/>
      <c r="R60" s="133"/>
      <c r="S60" s="133"/>
      <c r="T60" s="133"/>
      <c r="U60" s="133"/>
      <c r="V60" s="133"/>
      <c r="W60" s="133"/>
    </row>
    <row r="61" spans="2:23" x14ac:dyDescent="0.25">
      <c r="B61" s="171"/>
      <c r="C61" s="156"/>
      <c r="D61" s="208"/>
      <c r="E61" s="199"/>
      <c r="F61" s="209"/>
      <c r="G61" s="211"/>
      <c r="H61" s="200"/>
      <c r="I61" s="200"/>
      <c r="J61" s="200"/>
      <c r="K61" s="200"/>
      <c r="L61" s="228"/>
      <c r="M61" s="228"/>
      <c r="N61" s="228"/>
      <c r="O61" s="228"/>
      <c r="P61" s="161"/>
      <c r="Q61" s="129"/>
      <c r="R61" s="133"/>
      <c r="S61" s="133"/>
      <c r="T61" s="133"/>
      <c r="U61" s="133"/>
      <c r="V61" s="133"/>
      <c r="W61" s="133"/>
    </row>
    <row r="62" spans="2:23" x14ac:dyDescent="0.25">
      <c r="B62" s="172"/>
      <c r="C62" s="179"/>
      <c r="D62" s="155"/>
      <c r="E62" s="156"/>
      <c r="F62" s="180"/>
      <c r="G62" s="181"/>
      <c r="H62" s="153"/>
      <c r="I62" s="153"/>
      <c r="J62" s="153"/>
      <c r="K62" s="153"/>
      <c r="L62" s="152"/>
      <c r="M62" s="152"/>
      <c r="N62" s="152"/>
      <c r="O62" s="152"/>
      <c r="P62" s="161"/>
      <c r="Q62" s="129"/>
      <c r="R62" s="133"/>
      <c r="S62" s="133"/>
      <c r="T62" s="133"/>
      <c r="U62" s="133"/>
      <c r="V62" s="133"/>
      <c r="W62" s="133"/>
    </row>
    <row r="63" spans="2:23" x14ac:dyDescent="0.25">
      <c r="B63" s="171"/>
      <c r="C63" s="156"/>
      <c r="D63" s="155"/>
      <c r="E63" s="156"/>
      <c r="F63" s="156"/>
      <c r="G63" s="156"/>
      <c r="H63" s="153"/>
      <c r="I63" s="153"/>
      <c r="J63" s="153"/>
      <c r="K63" s="153"/>
      <c r="L63" s="152"/>
      <c r="M63" s="152"/>
      <c r="N63" s="152"/>
      <c r="O63" s="152"/>
      <c r="P63" s="161"/>
      <c r="Q63" s="129"/>
      <c r="R63" s="133"/>
      <c r="S63" s="133"/>
      <c r="T63" s="133"/>
      <c r="U63" s="133"/>
      <c r="V63" s="133"/>
      <c r="W63" s="133"/>
    </row>
    <row r="64" spans="2:23" x14ac:dyDescent="0.25">
      <c r="B64" s="171"/>
      <c r="C64" s="154"/>
      <c r="D64" s="155"/>
      <c r="E64" s="156"/>
      <c r="F64" s="156"/>
      <c r="G64" s="156"/>
      <c r="H64" s="153"/>
      <c r="I64" s="153"/>
      <c r="J64" s="153"/>
      <c r="K64" s="153"/>
      <c r="L64" s="154"/>
      <c r="M64" s="152"/>
      <c r="N64" s="152"/>
      <c r="O64" s="152"/>
      <c r="P64" s="152"/>
      <c r="Q64" s="129"/>
      <c r="R64" s="133"/>
      <c r="S64" s="133"/>
      <c r="T64" s="133"/>
      <c r="U64" s="133"/>
      <c r="V64" s="133"/>
      <c r="W64" s="133"/>
    </row>
    <row r="65" spans="3:24" x14ac:dyDescent="0.25">
      <c r="C65" s="154"/>
      <c r="D65" s="155"/>
      <c r="E65" s="156"/>
      <c r="F65" s="156"/>
      <c r="G65" s="156"/>
      <c r="H65" s="153"/>
      <c r="I65" s="153"/>
      <c r="J65" s="153"/>
      <c r="K65" s="153"/>
      <c r="L65" s="154"/>
      <c r="M65" s="152"/>
      <c r="N65" s="152"/>
      <c r="O65" s="152"/>
      <c r="P65" s="152"/>
      <c r="Q65" s="129"/>
      <c r="R65" s="133"/>
      <c r="S65" s="133"/>
      <c r="T65" s="133"/>
      <c r="U65" s="133"/>
      <c r="V65" s="133"/>
      <c r="W65" s="133"/>
    </row>
    <row r="66" spans="3:24" x14ac:dyDescent="0.25">
      <c r="C66" s="154"/>
      <c r="D66" s="155"/>
      <c r="E66" s="156"/>
      <c r="F66" s="156"/>
      <c r="G66" s="156"/>
      <c r="H66" s="153"/>
      <c r="I66" s="153"/>
      <c r="J66" s="153"/>
      <c r="K66" s="153"/>
      <c r="L66" s="154"/>
      <c r="M66" s="152"/>
      <c r="N66" s="165"/>
      <c r="O66" s="152"/>
      <c r="P66" s="152"/>
      <c r="Q66" s="129"/>
      <c r="R66" s="133"/>
      <c r="S66" s="133"/>
      <c r="T66" s="133"/>
      <c r="U66" s="133"/>
      <c r="V66" s="133"/>
      <c r="W66" s="133"/>
      <c r="X66" s="157"/>
    </row>
    <row r="67" spans="3:24" ht="20" x14ac:dyDescent="0.3">
      <c r="C67" s="156"/>
      <c r="D67" s="164"/>
      <c r="E67" s="156"/>
      <c r="F67" s="156"/>
      <c r="G67" s="156"/>
      <c r="H67" s="153"/>
      <c r="I67" s="153"/>
      <c r="J67" s="166"/>
      <c r="K67" s="153"/>
      <c r="L67" s="156"/>
      <c r="M67" s="152"/>
      <c r="N67" s="152"/>
      <c r="O67" s="165"/>
      <c r="P67" s="165"/>
      <c r="Q67" s="129"/>
      <c r="R67" s="130"/>
      <c r="S67" s="130"/>
      <c r="T67" s="130"/>
      <c r="U67" s="131"/>
      <c r="V67" s="131"/>
      <c r="W67" s="131"/>
      <c r="X67" s="132"/>
    </row>
    <row r="68" spans="3:24" ht="20" x14ac:dyDescent="0.25">
      <c r="C68" s="156"/>
      <c r="D68" s="164"/>
      <c r="E68" s="156"/>
      <c r="F68" s="156"/>
      <c r="G68" s="156"/>
      <c r="H68" s="153"/>
      <c r="I68" s="153"/>
      <c r="J68" s="166"/>
      <c r="K68" s="153"/>
      <c r="L68" s="156"/>
      <c r="M68" s="152"/>
      <c r="N68" s="152"/>
      <c r="O68" s="152"/>
      <c r="P68" s="152"/>
      <c r="Q68" s="129"/>
      <c r="R68" s="133"/>
      <c r="S68" s="133"/>
      <c r="T68" s="133"/>
      <c r="U68" s="133"/>
      <c r="V68" s="133"/>
      <c r="W68" s="133"/>
    </row>
    <row r="69" spans="3:24" ht="20" x14ac:dyDescent="0.25">
      <c r="C69" s="154"/>
      <c r="D69" s="164"/>
      <c r="E69" s="154"/>
      <c r="F69" s="154"/>
      <c r="G69" s="154"/>
      <c r="H69" s="153"/>
      <c r="I69" s="153"/>
      <c r="J69" s="166"/>
      <c r="K69" s="153"/>
      <c r="L69" s="154"/>
      <c r="M69" s="152"/>
      <c r="N69" s="152"/>
      <c r="O69" s="152"/>
      <c r="P69" s="152"/>
      <c r="Q69" s="129"/>
      <c r="R69" s="133"/>
      <c r="S69" s="133"/>
      <c r="T69" s="133"/>
      <c r="U69" s="133"/>
      <c r="V69" s="133"/>
      <c r="W69" s="133"/>
    </row>
    <row r="70" spans="3:24" ht="20" x14ac:dyDescent="0.25">
      <c r="C70" s="154"/>
      <c r="D70" s="164"/>
      <c r="E70" s="154"/>
      <c r="F70" s="154"/>
      <c r="G70" s="154"/>
      <c r="H70" s="153"/>
      <c r="I70" s="153"/>
      <c r="J70" s="166"/>
      <c r="K70" s="153"/>
      <c r="L70" s="154"/>
      <c r="M70" s="152"/>
      <c r="N70" s="152"/>
      <c r="O70" s="152"/>
      <c r="P70" s="152"/>
      <c r="Q70" s="129"/>
      <c r="R70" s="133"/>
      <c r="S70" s="133"/>
      <c r="T70" s="133"/>
      <c r="U70" s="133"/>
      <c r="V70" s="133"/>
      <c r="W70" s="133"/>
    </row>
    <row r="71" spans="3:24" ht="20" x14ac:dyDescent="0.25">
      <c r="C71" s="154"/>
      <c r="D71" s="164"/>
      <c r="E71" s="154"/>
      <c r="F71" s="154"/>
      <c r="G71" s="154"/>
      <c r="H71" s="153"/>
      <c r="I71" s="153"/>
      <c r="J71" s="166"/>
      <c r="K71" s="153"/>
      <c r="L71" s="154"/>
      <c r="M71" s="152"/>
      <c r="N71" s="152"/>
      <c r="O71" s="152"/>
      <c r="P71" s="152"/>
      <c r="Q71" s="129"/>
      <c r="R71" s="133"/>
      <c r="S71" s="133"/>
      <c r="T71" s="133"/>
      <c r="U71" s="133"/>
      <c r="V71" s="133"/>
      <c r="W71" s="133"/>
    </row>
    <row r="72" spans="3:24" x14ac:dyDescent="0.25">
      <c r="C72" s="154"/>
      <c r="D72" s="155"/>
      <c r="E72" s="154"/>
      <c r="F72" s="154"/>
      <c r="G72" s="154"/>
      <c r="H72" s="153"/>
      <c r="I72" s="153"/>
      <c r="J72" s="153"/>
      <c r="K72" s="153"/>
      <c r="L72" s="154"/>
      <c r="M72" s="152"/>
      <c r="N72" s="152"/>
      <c r="O72" s="152"/>
      <c r="P72" s="152"/>
      <c r="Q72" s="129"/>
      <c r="R72" s="133"/>
      <c r="S72" s="133"/>
      <c r="T72" s="133"/>
      <c r="U72" s="133"/>
      <c r="V72" s="133"/>
      <c r="W72" s="133"/>
    </row>
    <row r="73" spans="3:24" x14ac:dyDescent="0.25">
      <c r="C73" s="154"/>
      <c r="D73" s="155"/>
      <c r="E73" s="154"/>
      <c r="F73" s="154"/>
      <c r="G73" s="154"/>
      <c r="H73" s="153"/>
      <c r="I73" s="153"/>
      <c r="J73" s="153"/>
      <c r="K73" s="153"/>
      <c r="L73" s="154"/>
      <c r="M73" s="152"/>
      <c r="N73" s="152"/>
      <c r="O73" s="152"/>
      <c r="P73" s="152"/>
      <c r="Q73" s="129"/>
      <c r="R73" s="133"/>
      <c r="S73" s="133"/>
      <c r="T73" s="133"/>
      <c r="U73" s="133"/>
      <c r="V73" s="133"/>
      <c r="W73" s="133"/>
    </row>
    <row r="74" spans="3:24" x14ac:dyDescent="0.25">
      <c r="C74" s="154"/>
      <c r="D74" s="155"/>
      <c r="E74" s="154"/>
      <c r="F74" s="154"/>
      <c r="G74" s="154"/>
      <c r="H74" s="153"/>
      <c r="I74" s="153"/>
      <c r="J74" s="153"/>
      <c r="K74" s="153"/>
      <c r="L74" s="154"/>
      <c r="M74" s="152"/>
      <c r="N74" s="152"/>
      <c r="O74" s="152"/>
      <c r="P74" s="152"/>
      <c r="Q74" s="129"/>
      <c r="R74" s="133"/>
      <c r="S74" s="133"/>
      <c r="T74" s="133"/>
      <c r="U74" s="133"/>
      <c r="V74" s="133"/>
      <c r="W74" s="133"/>
    </row>
    <row r="75" spans="3:24" x14ac:dyDescent="0.25">
      <c r="C75" s="154"/>
      <c r="D75" s="155"/>
      <c r="E75" s="154"/>
      <c r="F75" s="154"/>
      <c r="G75" s="154"/>
      <c r="H75" s="153"/>
      <c r="I75" s="153"/>
      <c r="J75" s="153"/>
      <c r="K75" s="153"/>
      <c r="L75" s="154"/>
      <c r="M75" s="152"/>
      <c r="N75" s="152"/>
      <c r="O75" s="152"/>
      <c r="P75" s="152"/>
      <c r="Q75" s="129"/>
      <c r="R75" s="133"/>
      <c r="S75" s="133"/>
      <c r="T75" s="133"/>
      <c r="U75" s="133"/>
      <c r="V75" s="133"/>
      <c r="W75" s="133"/>
    </row>
    <row r="76" spans="3:24" x14ac:dyDescent="0.25">
      <c r="C76" s="154"/>
      <c r="D76" s="155"/>
      <c r="E76" s="154"/>
      <c r="F76" s="154"/>
      <c r="G76" s="154"/>
      <c r="H76" s="153"/>
      <c r="I76" s="153"/>
      <c r="J76" s="153"/>
      <c r="K76" s="153"/>
      <c r="L76" s="154"/>
      <c r="M76" s="152"/>
      <c r="N76" s="152"/>
      <c r="O76" s="152"/>
      <c r="P76" s="152"/>
      <c r="Q76" s="129"/>
      <c r="R76" s="133"/>
      <c r="S76" s="133"/>
      <c r="T76" s="133"/>
      <c r="U76" s="133"/>
      <c r="V76" s="133"/>
      <c r="W76" s="133"/>
    </row>
    <row r="77" spans="3:24" x14ac:dyDescent="0.25">
      <c r="C77" s="154"/>
      <c r="D77" s="155"/>
      <c r="E77" s="154"/>
      <c r="F77" s="154"/>
      <c r="G77" s="154"/>
      <c r="H77" s="153"/>
      <c r="I77" s="153"/>
      <c r="J77" s="153"/>
      <c r="K77" s="153"/>
      <c r="L77" s="154"/>
      <c r="M77" s="152"/>
      <c r="N77" s="152"/>
      <c r="O77" s="152"/>
      <c r="P77" s="152"/>
      <c r="Q77" s="129"/>
      <c r="R77" s="133"/>
      <c r="S77" s="133"/>
      <c r="T77" s="133"/>
      <c r="U77" s="133"/>
      <c r="V77" s="133"/>
      <c r="W77" s="133"/>
    </row>
    <row r="78" spans="3:24" x14ac:dyDescent="0.25">
      <c r="C78" s="154"/>
      <c r="D78" s="155"/>
      <c r="E78" s="154"/>
      <c r="F78" s="154"/>
      <c r="G78" s="154"/>
      <c r="H78" s="153"/>
      <c r="I78" s="153"/>
      <c r="J78" s="153"/>
      <c r="K78" s="153"/>
      <c r="L78" s="154"/>
      <c r="M78" s="152"/>
      <c r="N78" s="152"/>
      <c r="O78" s="152"/>
      <c r="P78" s="152"/>
      <c r="Q78" s="129"/>
      <c r="R78" s="133"/>
      <c r="S78" s="133"/>
      <c r="T78" s="133"/>
      <c r="U78" s="133"/>
      <c r="V78" s="133"/>
      <c r="W78" s="133"/>
    </row>
    <row r="79" spans="3:24" x14ac:dyDescent="0.25">
      <c r="C79" s="154"/>
      <c r="D79" s="155"/>
      <c r="E79" s="154"/>
      <c r="F79" s="154"/>
      <c r="G79" s="154"/>
      <c r="H79" s="153"/>
      <c r="I79" s="153"/>
      <c r="J79" s="153"/>
      <c r="K79" s="153"/>
      <c r="L79" s="154"/>
      <c r="M79" s="152"/>
      <c r="N79" s="152"/>
      <c r="O79" s="152"/>
      <c r="P79" s="152"/>
      <c r="Q79" s="129"/>
      <c r="R79" s="133"/>
      <c r="S79" s="133"/>
      <c r="T79" s="133"/>
      <c r="U79" s="133"/>
      <c r="V79" s="133"/>
      <c r="W79" s="133"/>
    </row>
    <row r="80" spans="3:24" x14ac:dyDescent="0.25">
      <c r="C80" s="154"/>
      <c r="D80" s="155"/>
      <c r="E80" s="154"/>
      <c r="F80" s="154"/>
      <c r="G80" s="154"/>
      <c r="H80" s="153"/>
      <c r="I80" s="153"/>
      <c r="J80" s="153"/>
      <c r="K80" s="153"/>
      <c r="L80" s="154"/>
      <c r="M80" s="152"/>
      <c r="N80" s="152"/>
      <c r="O80" s="152"/>
      <c r="P80" s="152"/>
      <c r="Q80" s="129"/>
      <c r="R80" s="133"/>
      <c r="S80" s="133"/>
      <c r="T80" s="133"/>
      <c r="U80" s="133"/>
      <c r="V80" s="133"/>
      <c r="W80" s="133"/>
    </row>
    <row r="81" spans="3:23" x14ac:dyDescent="0.25">
      <c r="C81" s="154"/>
      <c r="D81" s="155"/>
      <c r="E81" s="154"/>
      <c r="F81" s="154"/>
      <c r="G81" s="154"/>
      <c r="H81" s="153"/>
      <c r="I81" s="153"/>
      <c r="J81" s="153"/>
      <c r="K81" s="153"/>
      <c r="L81" s="154"/>
      <c r="M81" s="152"/>
      <c r="N81" s="152"/>
      <c r="O81" s="152"/>
      <c r="P81" s="152"/>
      <c r="Q81" s="129"/>
      <c r="R81" s="133"/>
      <c r="S81" s="133"/>
      <c r="T81" s="133"/>
      <c r="U81" s="133"/>
      <c r="V81" s="133"/>
      <c r="W81" s="133"/>
    </row>
    <row r="82" spans="3:23" x14ac:dyDescent="0.25">
      <c r="C82" s="154"/>
      <c r="D82" s="155"/>
      <c r="E82" s="154"/>
      <c r="F82" s="154"/>
      <c r="G82" s="154"/>
      <c r="H82" s="153"/>
      <c r="I82" s="153"/>
      <c r="J82" s="153"/>
      <c r="K82" s="153"/>
      <c r="L82" s="154"/>
      <c r="M82" s="152"/>
      <c r="N82" s="152"/>
      <c r="O82" s="152"/>
      <c r="P82" s="152"/>
      <c r="Q82" s="129"/>
      <c r="R82" s="133"/>
      <c r="S82" s="133"/>
      <c r="T82" s="133"/>
      <c r="U82" s="133"/>
      <c r="V82" s="133"/>
      <c r="W82" s="133"/>
    </row>
    <row r="83" spans="3:23" x14ac:dyDescent="0.25">
      <c r="C83" s="154"/>
      <c r="D83" s="155"/>
      <c r="E83" s="154"/>
      <c r="F83" s="154"/>
      <c r="G83" s="154"/>
      <c r="H83" s="153"/>
      <c r="I83" s="153"/>
      <c r="J83" s="153"/>
      <c r="K83" s="153"/>
      <c r="L83" s="154"/>
      <c r="M83" s="152"/>
      <c r="N83" s="152"/>
      <c r="O83" s="152"/>
      <c r="P83" s="152"/>
      <c r="Q83" s="129"/>
      <c r="R83" s="133"/>
      <c r="S83" s="133"/>
      <c r="T83" s="133"/>
      <c r="U83" s="133"/>
      <c r="V83" s="133"/>
      <c r="W83" s="133"/>
    </row>
    <row r="84" spans="3:23" x14ac:dyDescent="0.25">
      <c r="C84" s="154"/>
      <c r="D84" s="155"/>
      <c r="E84" s="154"/>
      <c r="F84" s="154"/>
      <c r="G84" s="154"/>
      <c r="H84" s="153"/>
      <c r="I84" s="153"/>
      <c r="J84" s="153"/>
      <c r="K84" s="153"/>
      <c r="L84" s="154"/>
      <c r="M84" s="152"/>
      <c r="N84" s="152"/>
      <c r="O84" s="152"/>
      <c r="P84" s="152"/>
      <c r="Q84" s="129"/>
      <c r="R84" s="133"/>
      <c r="S84" s="133"/>
      <c r="T84" s="133"/>
      <c r="U84" s="133"/>
      <c r="V84" s="133"/>
      <c r="W84" s="133"/>
    </row>
    <row r="85" spans="3:23" x14ac:dyDescent="0.25">
      <c r="C85" s="154"/>
      <c r="D85" s="162"/>
      <c r="E85" s="167"/>
      <c r="F85" s="167"/>
      <c r="G85" s="167"/>
      <c r="H85" s="168"/>
      <c r="I85" s="168"/>
      <c r="J85" s="168"/>
      <c r="K85" s="168"/>
      <c r="L85" s="154"/>
      <c r="M85" s="152"/>
      <c r="N85" s="152"/>
      <c r="O85" s="152"/>
      <c r="P85" s="152"/>
      <c r="Q85" s="129"/>
      <c r="R85" s="133"/>
      <c r="S85" s="133"/>
      <c r="T85" s="133"/>
      <c r="U85" s="133"/>
      <c r="V85" s="133"/>
      <c r="W85" s="133"/>
    </row>
    <row r="86" spans="3:23" x14ac:dyDescent="0.25">
      <c r="M86" s="103"/>
      <c r="N86" s="103"/>
      <c r="O86" s="103"/>
      <c r="P86" s="103"/>
      <c r="Q86" s="129"/>
      <c r="R86" s="133"/>
      <c r="S86" s="133"/>
      <c r="T86" s="133"/>
      <c r="U86" s="133"/>
      <c r="V86" s="133"/>
      <c r="W86" s="133"/>
    </row>
    <row r="87" spans="3:23" x14ac:dyDescent="0.25">
      <c r="M87" s="103"/>
      <c r="N87" s="103"/>
      <c r="O87" s="103"/>
      <c r="P87" s="103"/>
      <c r="Q87" s="129"/>
      <c r="R87" s="133"/>
      <c r="S87" s="133"/>
      <c r="T87" s="133"/>
      <c r="U87" s="133"/>
      <c r="V87" s="133"/>
      <c r="W87" s="133"/>
    </row>
    <row r="88" spans="3:23" x14ac:dyDescent="0.25">
      <c r="M88" s="103"/>
      <c r="N88" s="103"/>
      <c r="O88" s="103"/>
      <c r="P88" s="103"/>
      <c r="Q88" s="103"/>
      <c r="R88" s="133"/>
      <c r="S88" s="133"/>
      <c r="T88" s="133"/>
      <c r="U88" s="133"/>
      <c r="V88" s="133"/>
      <c r="W88" s="133"/>
    </row>
    <row r="89" spans="3:23" x14ac:dyDescent="0.25">
      <c r="M89" s="103"/>
      <c r="N89" s="103"/>
      <c r="O89" s="103"/>
      <c r="P89" s="103"/>
      <c r="Q89" s="103"/>
      <c r="R89" s="133"/>
      <c r="S89" s="133"/>
      <c r="T89" s="133"/>
      <c r="U89" s="133"/>
      <c r="V89" s="133"/>
      <c r="W89" s="133"/>
    </row>
    <row r="90" spans="3:23" x14ac:dyDescent="0.25">
      <c r="M90" s="103"/>
      <c r="N90" s="103"/>
      <c r="O90" s="103"/>
      <c r="P90" s="103"/>
      <c r="Q90" s="103"/>
      <c r="R90" s="133"/>
      <c r="S90" s="133"/>
      <c r="T90" s="133"/>
      <c r="U90" s="133"/>
      <c r="V90" s="133"/>
      <c r="W90" s="133"/>
    </row>
    <row r="91" spans="3:23" x14ac:dyDescent="0.25">
      <c r="M91" s="103"/>
      <c r="N91" s="103"/>
      <c r="O91" s="103"/>
      <c r="P91" s="103"/>
      <c r="Q91" s="103"/>
      <c r="R91" s="133"/>
      <c r="S91" s="133"/>
      <c r="T91" s="133"/>
      <c r="U91" s="133"/>
      <c r="V91" s="133"/>
      <c r="W91" s="133"/>
    </row>
    <row r="92" spans="3:23" x14ac:dyDescent="0.25">
      <c r="R92" s="157"/>
      <c r="S92" s="157"/>
      <c r="T92" s="157"/>
      <c r="U92" s="157"/>
      <c r="V92" s="157"/>
      <c r="W92" s="157"/>
    </row>
    <row r="93" spans="3:23" x14ac:dyDescent="0.25">
      <c r="R93" s="157"/>
      <c r="S93" s="157"/>
      <c r="T93" s="157"/>
      <c r="U93" s="157"/>
      <c r="V93" s="157"/>
      <c r="W93" s="157"/>
    </row>
    <row r="94" spans="3:23" x14ac:dyDescent="0.25">
      <c r="R94" s="157"/>
      <c r="S94" s="157"/>
      <c r="T94" s="157"/>
      <c r="U94" s="157"/>
      <c r="V94" s="157"/>
      <c r="W94" s="157"/>
    </row>
    <row r="95" spans="3:23" x14ac:dyDescent="0.25">
      <c r="R95" s="157"/>
      <c r="S95" s="157"/>
      <c r="T95" s="157"/>
      <c r="U95" s="157"/>
      <c r="V95" s="157"/>
      <c r="W95" s="157"/>
    </row>
    <row r="96" spans="3:23" x14ac:dyDescent="0.25">
      <c r="R96" s="157"/>
      <c r="S96" s="157"/>
      <c r="T96" s="157"/>
      <c r="U96" s="157"/>
      <c r="V96" s="157"/>
      <c r="W96" s="157"/>
    </row>
    <row r="97" spans="18:23" x14ac:dyDescent="0.25">
      <c r="R97" s="157"/>
      <c r="S97" s="157"/>
      <c r="T97" s="157"/>
      <c r="U97" s="157"/>
      <c r="V97" s="157"/>
      <c r="W97" s="157"/>
    </row>
    <row r="98" spans="18:23" x14ac:dyDescent="0.25">
      <c r="R98" s="157"/>
      <c r="S98" s="157"/>
      <c r="T98" s="157"/>
      <c r="U98" s="157"/>
      <c r="V98" s="157"/>
      <c r="W98" s="157"/>
    </row>
    <row r="99" spans="18:23" x14ac:dyDescent="0.25">
      <c r="R99" s="157"/>
      <c r="S99" s="157"/>
      <c r="T99" s="157"/>
      <c r="U99" s="157"/>
      <c r="V99" s="157"/>
      <c r="W99" s="157"/>
    </row>
    <row r="100" spans="18:23" x14ac:dyDescent="0.25">
      <c r="R100" s="157"/>
      <c r="S100" s="157"/>
      <c r="T100" s="157"/>
      <c r="U100" s="157"/>
      <c r="V100" s="157"/>
      <c r="W100" s="157"/>
    </row>
    <row r="101" spans="18:23" x14ac:dyDescent="0.25">
      <c r="R101" s="157"/>
      <c r="S101" s="157"/>
      <c r="T101" s="157"/>
      <c r="U101" s="157"/>
      <c r="V101" s="157"/>
      <c r="W101" s="157"/>
    </row>
    <row r="102" spans="18:23" x14ac:dyDescent="0.25">
      <c r="R102" s="157"/>
      <c r="S102" s="157"/>
      <c r="T102" s="157"/>
      <c r="U102" s="157"/>
      <c r="V102" s="157"/>
      <c r="W102" s="157"/>
    </row>
    <row r="103" spans="18:23" x14ac:dyDescent="0.25">
      <c r="R103" s="157"/>
      <c r="S103" s="157"/>
      <c r="T103" s="157"/>
      <c r="U103" s="157"/>
      <c r="V103" s="157"/>
      <c r="W103" s="157"/>
    </row>
    <row r="104" spans="18:23" x14ac:dyDescent="0.25">
      <c r="R104" s="157"/>
      <c r="S104" s="157"/>
      <c r="T104" s="157"/>
      <c r="U104" s="157"/>
      <c r="V104" s="157"/>
      <c r="W104" s="157"/>
    </row>
    <row r="105" spans="18:23" x14ac:dyDescent="0.25">
      <c r="R105" s="157"/>
      <c r="S105" s="157"/>
      <c r="T105" s="157"/>
      <c r="U105" s="157"/>
      <c r="V105" s="157"/>
      <c r="W105" s="157"/>
    </row>
    <row r="106" spans="18:23" x14ac:dyDescent="0.25">
      <c r="R106" s="157"/>
      <c r="S106" s="157"/>
      <c r="T106" s="157"/>
      <c r="U106" s="157"/>
      <c r="V106" s="157"/>
      <c r="W106" s="157"/>
    </row>
    <row r="107" spans="18:23" x14ac:dyDescent="0.25">
      <c r="R107" s="157"/>
      <c r="S107" s="157"/>
      <c r="T107" s="157"/>
      <c r="U107" s="157"/>
      <c r="V107" s="157"/>
      <c r="W107" s="157"/>
    </row>
    <row r="108" spans="18:23" x14ac:dyDescent="0.25">
      <c r="R108" s="157"/>
      <c r="S108" s="157"/>
      <c r="T108" s="157"/>
      <c r="U108" s="157"/>
      <c r="V108" s="157"/>
      <c r="W108" s="157"/>
    </row>
    <row r="109" spans="18:23" x14ac:dyDescent="0.25">
      <c r="R109" s="157"/>
      <c r="S109" s="157"/>
      <c r="T109" s="157"/>
      <c r="U109" s="157"/>
      <c r="V109" s="157"/>
      <c r="W109" s="157"/>
    </row>
    <row r="110" spans="18:23" x14ac:dyDescent="0.25">
      <c r="R110" s="157"/>
      <c r="S110" s="157"/>
      <c r="T110" s="157"/>
      <c r="U110" s="157"/>
      <c r="V110" s="157"/>
      <c r="W110" s="157"/>
    </row>
    <row r="111" spans="18:23" x14ac:dyDescent="0.25">
      <c r="R111" s="157"/>
      <c r="S111" s="157"/>
      <c r="T111" s="157"/>
      <c r="U111" s="157"/>
      <c r="V111" s="157"/>
      <c r="W111" s="157"/>
    </row>
    <row r="112" spans="18:23" x14ac:dyDescent="0.25">
      <c r="R112" s="157"/>
      <c r="S112" s="157"/>
      <c r="T112" s="157"/>
      <c r="U112" s="157"/>
      <c r="V112" s="157"/>
      <c r="W112" s="157"/>
    </row>
    <row r="113" spans="18:23" x14ac:dyDescent="0.25">
      <c r="R113" s="157"/>
      <c r="S113" s="157"/>
      <c r="T113" s="157"/>
      <c r="U113" s="157"/>
      <c r="V113" s="157"/>
      <c r="W113" s="157"/>
    </row>
    <row r="114" spans="18:23" x14ac:dyDescent="0.25">
      <c r="R114" s="157"/>
      <c r="S114" s="157"/>
      <c r="T114" s="157"/>
      <c r="U114" s="157"/>
      <c r="V114" s="157"/>
      <c r="W114" s="157"/>
    </row>
    <row r="115" spans="18:23" x14ac:dyDescent="0.25">
      <c r="R115" s="157"/>
      <c r="S115" s="157"/>
      <c r="T115" s="157"/>
      <c r="U115" s="157"/>
      <c r="V115" s="157"/>
      <c r="W115" s="157"/>
    </row>
    <row r="116" spans="18:23" x14ac:dyDescent="0.25">
      <c r="R116" s="157"/>
      <c r="S116" s="157"/>
      <c r="T116" s="157"/>
      <c r="U116" s="157"/>
      <c r="V116" s="157"/>
      <c r="W116" s="157"/>
    </row>
    <row r="117" spans="18:23" x14ac:dyDescent="0.25">
      <c r="R117" s="157"/>
      <c r="S117" s="157"/>
      <c r="T117" s="157"/>
      <c r="U117" s="157"/>
      <c r="V117" s="157"/>
      <c r="W117" s="157"/>
    </row>
    <row r="118" spans="18:23" x14ac:dyDescent="0.25">
      <c r="R118" s="157"/>
      <c r="S118" s="157"/>
      <c r="T118" s="157"/>
      <c r="U118" s="157"/>
      <c r="V118" s="157"/>
      <c r="W118" s="157"/>
    </row>
    <row r="119" spans="18:23" x14ac:dyDescent="0.25">
      <c r="R119" s="157"/>
      <c r="S119" s="157"/>
      <c r="T119" s="157"/>
      <c r="U119" s="157"/>
      <c r="V119" s="157"/>
      <c r="W119" s="157"/>
    </row>
    <row r="120" spans="18:23" x14ac:dyDescent="0.25">
      <c r="R120" s="157"/>
      <c r="S120" s="157"/>
      <c r="T120" s="157"/>
      <c r="U120" s="157"/>
      <c r="V120" s="157"/>
      <c r="W120" s="157"/>
    </row>
    <row r="121" spans="18:23" x14ac:dyDescent="0.25">
      <c r="R121" s="157"/>
      <c r="S121" s="157"/>
      <c r="T121" s="157"/>
      <c r="U121" s="157"/>
      <c r="V121" s="157"/>
      <c r="W121" s="157"/>
    </row>
    <row r="122" spans="18:23" x14ac:dyDescent="0.25">
      <c r="R122" s="157"/>
      <c r="S122" s="157"/>
      <c r="T122" s="157"/>
      <c r="U122" s="157"/>
      <c r="V122" s="157"/>
      <c r="W122" s="157"/>
    </row>
    <row r="123" spans="18:23" x14ac:dyDescent="0.25">
      <c r="R123" s="157"/>
      <c r="S123" s="157"/>
      <c r="T123" s="157"/>
      <c r="U123" s="157"/>
      <c r="V123" s="157"/>
      <c r="W123" s="157"/>
    </row>
    <row r="124" spans="18:23" x14ac:dyDescent="0.25">
      <c r="R124" s="157"/>
      <c r="S124" s="157"/>
      <c r="T124" s="157"/>
      <c r="U124" s="157"/>
      <c r="V124" s="157"/>
      <c r="W124" s="157"/>
    </row>
    <row r="125" spans="18:23" x14ac:dyDescent="0.25">
      <c r="R125" s="157"/>
      <c r="S125" s="157"/>
      <c r="T125" s="157"/>
      <c r="U125" s="157"/>
      <c r="V125" s="157"/>
      <c r="W125" s="157"/>
    </row>
    <row r="126" spans="18:23" x14ac:dyDescent="0.25">
      <c r="R126" s="157"/>
      <c r="S126" s="157"/>
      <c r="T126" s="157"/>
      <c r="U126" s="157"/>
      <c r="V126" s="157"/>
      <c r="W126" s="157"/>
    </row>
    <row r="127" spans="18:23" x14ac:dyDescent="0.25">
      <c r="R127" s="157"/>
      <c r="S127" s="157"/>
      <c r="T127" s="157"/>
      <c r="U127" s="157"/>
      <c r="V127" s="157"/>
      <c r="W127" s="157"/>
    </row>
    <row r="128" spans="18:23" x14ac:dyDescent="0.25">
      <c r="R128" s="157"/>
      <c r="S128" s="157"/>
      <c r="T128" s="157"/>
      <c r="U128" s="157"/>
      <c r="V128" s="157"/>
      <c r="W128" s="157"/>
    </row>
    <row r="129" spans="18:23" x14ac:dyDescent="0.25">
      <c r="R129" s="157"/>
      <c r="S129" s="157"/>
      <c r="T129" s="157"/>
      <c r="U129" s="157"/>
      <c r="V129" s="157"/>
      <c r="W129" s="157"/>
    </row>
    <row r="130" spans="18:23" x14ac:dyDescent="0.25">
      <c r="R130" s="157"/>
      <c r="S130" s="157"/>
      <c r="T130" s="157"/>
      <c r="U130" s="157"/>
      <c r="V130" s="157"/>
      <c r="W130" s="157"/>
    </row>
    <row r="131" spans="18:23" x14ac:dyDescent="0.25">
      <c r="R131" s="157"/>
      <c r="S131" s="157"/>
      <c r="T131" s="157"/>
      <c r="U131" s="157"/>
      <c r="V131" s="157"/>
      <c r="W131" s="157"/>
    </row>
    <row r="132" spans="18:23" x14ac:dyDescent="0.25">
      <c r="R132" s="157"/>
      <c r="S132" s="157"/>
      <c r="T132" s="157"/>
      <c r="U132" s="157"/>
      <c r="V132" s="157"/>
      <c r="W132" s="157"/>
    </row>
    <row r="133" spans="18:23" x14ac:dyDescent="0.25">
      <c r="R133" s="157"/>
      <c r="S133" s="157"/>
      <c r="T133" s="157"/>
      <c r="U133" s="157"/>
      <c r="V133" s="157"/>
      <c r="W133" s="157"/>
    </row>
    <row r="134" spans="18:23" x14ac:dyDescent="0.25">
      <c r="R134" s="157"/>
      <c r="S134" s="157"/>
      <c r="T134" s="157"/>
      <c r="U134" s="157"/>
      <c r="V134" s="157"/>
      <c r="W134" s="157"/>
    </row>
    <row r="135" spans="18:23" x14ac:dyDescent="0.25">
      <c r="R135" s="157"/>
      <c r="S135" s="157"/>
      <c r="T135" s="157"/>
      <c r="U135" s="157"/>
      <c r="V135" s="157"/>
      <c r="W135" s="157"/>
    </row>
    <row r="136" spans="18:23" x14ac:dyDescent="0.25">
      <c r="R136" s="157"/>
      <c r="S136" s="157"/>
      <c r="T136" s="157"/>
      <c r="U136" s="157"/>
      <c r="V136" s="157"/>
      <c r="W136" s="157"/>
    </row>
    <row r="137" spans="18:23" x14ac:dyDescent="0.25">
      <c r="R137" s="157"/>
      <c r="S137" s="157"/>
      <c r="T137" s="157"/>
      <c r="U137" s="157"/>
      <c r="V137" s="157"/>
      <c r="W137" s="157"/>
    </row>
    <row r="138" spans="18:23" x14ac:dyDescent="0.25">
      <c r="R138" s="157"/>
      <c r="S138" s="157"/>
      <c r="T138" s="157"/>
      <c r="U138" s="157"/>
      <c r="V138" s="157"/>
      <c r="W138" s="157"/>
    </row>
    <row r="139" spans="18:23" x14ac:dyDescent="0.25">
      <c r="R139" s="157"/>
      <c r="S139" s="157"/>
      <c r="T139" s="157"/>
      <c r="U139" s="157"/>
      <c r="V139" s="157"/>
      <c r="W139" s="157"/>
    </row>
    <row r="140" spans="18:23" x14ac:dyDescent="0.25">
      <c r="R140" s="157"/>
      <c r="S140" s="157"/>
      <c r="T140" s="157"/>
      <c r="U140" s="157"/>
      <c r="V140" s="157"/>
      <c r="W140" s="157"/>
    </row>
    <row r="141" spans="18:23" x14ac:dyDescent="0.25">
      <c r="R141" s="157"/>
      <c r="S141" s="157"/>
      <c r="T141" s="157"/>
      <c r="U141" s="157"/>
      <c r="V141" s="157"/>
      <c r="W141" s="157"/>
    </row>
    <row r="142" spans="18:23" x14ac:dyDescent="0.25">
      <c r="R142" s="157"/>
      <c r="S142" s="157"/>
      <c r="T142" s="157"/>
      <c r="U142" s="157"/>
      <c r="V142" s="157"/>
      <c r="W142" s="157"/>
    </row>
    <row r="143" spans="18:23" x14ac:dyDescent="0.25">
      <c r="R143" s="157"/>
      <c r="S143" s="157"/>
      <c r="T143" s="157"/>
      <c r="U143" s="157"/>
      <c r="V143" s="157"/>
      <c r="W143" s="157"/>
    </row>
    <row r="144" spans="18:23" x14ac:dyDescent="0.25">
      <c r="R144" s="157"/>
      <c r="S144" s="157"/>
      <c r="T144" s="157"/>
      <c r="U144" s="157"/>
      <c r="V144" s="157"/>
      <c r="W144" s="157"/>
    </row>
    <row r="145" spans="18:23" x14ac:dyDescent="0.25">
      <c r="R145" s="157"/>
      <c r="S145" s="157"/>
      <c r="T145" s="157"/>
      <c r="U145" s="157"/>
      <c r="V145" s="157"/>
      <c r="W145" s="157"/>
    </row>
    <row r="146" spans="18:23" x14ac:dyDescent="0.25">
      <c r="R146" s="157"/>
      <c r="S146" s="157"/>
      <c r="T146" s="157"/>
      <c r="U146" s="157"/>
      <c r="V146" s="157"/>
      <c r="W146" s="157"/>
    </row>
    <row r="147" spans="18:23" x14ac:dyDescent="0.25">
      <c r="R147" s="157"/>
      <c r="S147" s="157"/>
      <c r="T147" s="157"/>
      <c r="U147" s="157"/>
      <c r="V147" s="157"/>
      <c r="W147" s="157"/>
    </row>
    <row r="148" spans="18:23" x14ac:dyDescent="0.25">
      <c r="R148" s="157"/>
      <c r="S148" s="157"/>
      <c r="T148" s="157"/>
      <c r="U148" s="157"/>
      <c r="V148" s="157"/>
      <c r="W148" s="157"/>
    </row>
    <row r="149" spans="18:23" x14ac:dyDescent="0.25">
      <c r="R149" s="157"/>
      <c r="S149" s="157"/>
      <c r="T149" s="157"/>
      <c r="U149" s="157"/>
      <c r="V149" s="157"/>
      <c r="W149" s="157"/>
    </row>
    <row r="150" spans="18:23" x14ac:dyDescent="0.25">
      <c r="R150" s="157"/>
      <c r="S150" s="157"/>
      <c r="T150" s="157"/>
      <c r="U150" s="157"/>
      <c r="V150" s="157"/>
      <c r="W150" s="157"/>
    </row>
    <row r="151" spans="18:23" x14ac:dyDescent="0.25">
      <c r="R151" s="157"/>
      <c r="S151" s="157"/>
      <c r="T151" s="157"/>
      <c r="U151" s="157"/>
      <c r="V151" s="157"/>
      <c r="W151" s="157"/>
    </row>
    <row r="152" spans="18:23" x14ac:dyDescent="0.25">
      <c r="R152" s="157"/>
      <c r="S152" s="157"/>
      <c r="T152" s="157"/>
      <c r="U152" s="157"/>
      <c r="V152" s="157"/>
      <c r="W152" s="157"/>
    </row>
    <row r="153" spans="18:23" x14ac:dyDescent="0.25">
      <c r="R153" s="157"/>
      <c r="S153" s="157"/>
      <c r="T153" s="157"/>
      <c r="U153" s="157"/>
      <c r="V153" s="157"/>
      <c r="W153" s="157"/>
    </row>
    <row r="154" spans="18:23" x14ac:dyDescent="0.25">
      <c r="R154" s="157"/>
      <c r="S154" s="157"/>
      <c r="T154" s="157"/>
      <c r="U154" s="157"/>
      <c r="V154" s="157"/>
      <c r="W154" s="157"/>
    </row>
    <row r="155" spans="18:23" x14ac:dyDescent="0.25">
      <c r="R155" s="157"/>
      <c r="S155" s="157"/>
      <c r="T155" s="157"/>
      <c r="U155" s="157"/>
      <c r="V155" s="157"/>
      <c r="W155" s="157"/>
    </row>
    <row r="156" spans="18:23" x14ac:dyDescent="0.25">
      <c r="R156" s="157"/>
      <c r="S156" s="157"/>
      <c r="T156" s="157"/>
      <c r="U156" s="157"/>
      <c r="V156" s="157"/>
      <c r="W156" s="157"/>
    </row>
    <row r="157" spans="18:23" x14ac:dyDescent="0.25">
      <c r="R157" s="157"/>
      <c r="S157" s="157"/>
      <c r="T157" s="157"/>
      <c r="U157" s="157"/>
      <c r="V157" s="157"/>
      <c r="W157" s="157"/>
    </row>
    <row r="158" spans="18:23" x14ac:dyDescent="0.25">
      <c r="R158" s="157"/>
      <c r="S158" s="157"/>
      <c r="T158" s="157"/>
      <c r="U158" s="157"/>
      <c r="V158" s="157"/>
      <c r="W158" s="157"/>
    </row>
    <row r="159" spans="18:23" x14ac:dyDescent="0.25">
      <c r="R159" s="157"/>
      <c r="S159" s="157"/>
      <c r="T159" s="157"/>
      <c r="U159" s="157"/>
      <c r="V159" s="157"/>
      <c r="W159" s="157"/>
    </row>
    <row r="160" spans="18:23" x14ac:dyDescent="0.25">
      <c r="R160" s="157"/>
      <c r="S160" s="157"/>
      <c r="T160" s="157"/>
      <c r="U160" s="157"/>
      <c r="V160" s="157"/>
      <c r="W160" s="157"/>
    </row>
    <row r="161" spans="18:23" x14ac:dyDescent="0.25">
      <c r="R161" s="157"/>
      <c r="S161" s="157"/>
      <c r="T161" s="157"/>
      <c r="U161" s="157"/>
      <c r="V161" s="157"/>
      <c r="W161" s="157"/>
    </row>
    <row r="162" spans="18:23" x14ac:dyDescent="0.25">
      <c r="R162" s="157"/>
      <c r="S162" s="157"/>
      <c r="T162" s="157"/>
      <c r="U162" s="157"/>
      <c r="V162" s="157"/>
      <c r="W162" s="157"/>
    </row>
    <row r="163" spans="18:23" x14ac:dyDescent="0.25">
      <c r="R163" s="157"/>
      <c r="S163" s="157"/>
      <c r="T163" s="157"/>
      <c r="U163" s="157"/>
      <c r="V163" s="157"/>
      <c r="W163" s="157"/>
    </row>
    <row r="164" spans="18:23" x14ac:dyDescent="0.25">
      <c r="R164" s="157"/>
      <c r="S164" s="157"/>
      <c r="T164" s="157"/>
      <c r="U164" s="157"/>
      <c r="V164" s="157"/>
      <c r="W164" s="157"/>
    </row>
    <row r="165" spans="18:23" x14ac:dyDescent="0.25">
      <c r="R165" s="157"/>
      <c r="S165" s="157"/>
      <c r="T165" s="157"/>
      <c r="U165" s="157"/>
      <c r="V165" s="157"/>
      <c r="W165" s="157"/>
    </row>
    <row r="166" spans="18:23" x14ac:dyDescent="0.25">
      <c r="R166" s="157"/>
      <c r="S166" s="157"/>
      <c r="T166" s="157"/>
      <c r="U166" s="157"/>
      <c r="V166" s="157"/>
      <c r="W166" s="157"/>
    </row>
    <row r="167" spans="18:23" x14ac:dyDescent="0.25">
      <c r="R167" s="157"/>
      <c r="S167" s="157"/>
      <c r="T167" s="157"/>
      <c r="U167" s="157"/>
      <c r="V167" s="157"/>
      <c r="W167" s="157"/>
    </row>
    <row r="168" spans="18:23" x14ac:dyDescent="0.25">
      <c r="R168" s="157"/>
      <c r="S168" s="157"/>
      <c r="T168" s="157"/>
      <c r="U168" s="157"/>
      <c r="V168" s="157"/>
      <c r="W168" s="157"/>
    </row>
    <row r="169" spans="18:23" x14ac:dyDescent="0.25">
      <c r="R169" s="157"/>
      <c r="S169" s="157"/>
      <c r="T169" s="157"/>
      <c r="U169" s="157"/>
      <c r="V169" s="157"/>
      <c r="W169" s="157"/>
    </row>
    <row r="170" spans="18:23" x14ac:dyDescent="0.25">
      <c r="R170" s="157"/>
      <c r="S170" s="157"/>
      <c r="T170" s="157"/>
      <c r="U170" s="157"/>
      <c r="V170" s="157"/>
      <c r="W170" s="157"/>
    </row>
    <row r="171" spans="18:23" x14ac:dyDescent="0.25">
      <c r="R171" s="157"/>
      <c r="S171" s="157"/>
      <c r="T171" s="157"/>
      <c r="U171" s="157"/>
      <c r="V171" s="157"/>
      <c r="W171" s="157"/>
    </row>
    <row r="172" spans="18:23" x14ac:dyDescent="0.25">
      <c r="R172" s="157"/>
      <c r="S172" s="157"/>
      <c r="T172" s="157"/>
      <c r="U172" s="157"/>
      <c r="V172" s="157"/>
      <c r="W172" s="157"/>
    </row>
    <row r="173" spans="18:23" x14ac:dyDescent="0.25">
      <c r="R173" s="157"/>
      <c r="S173" s="157"/>
      <c r="T173" s="157"/>
      <c r="U173" s="157"/>
      <c r="V173" s="157"/>
      <c r="W173" s="157"/>
    </row>
    <row r="174" spans="18:23" x14ac:dyDescent="0.25">
      <c r="R174" s="157"/>
      <c r="S174" s="157"/>
      <c r="T174" s="157"/>
      <c r="U174" s="157"/>
      <c r="V174" s="157"/>
      <c r="W174" s="157"/>
    </row>
    <row r="175" spans="18:23" x14ac:dyDescent="0.25">
      <c r="R175" s="157"/>
      <c r="S175" s="157"/>
      <c r="T175" s="157"/>
      <c r="U175" s="157"/>
      <c r="V175" s="157"/>
      <c r="W175" s="157"/>
    </row>
    <row r="176" spans="18:23" x14ac:dyDescent="0.25">
      <c r="R176" s="157"/>
      <c r="S176" s="157"/>
      <c r="T176" s="157"/>
      <c r="U176" s="157"/>
      <c r="V176" s="157"/>
      <c r="W176" s="157"/>
    </row>
    <row r="177" spans="18:23" x14ac:dyDescent="0.25">
      <c r="R177" s="157"/>
      <c r="S177" s="157"/>
      <c r="T177" s="157"/>
      <c r="U177" s="157"/>
      <c r="V177" s="157"/>
      <c r="W177" s="157"/>
    </row>
    <row r="178" spans="18:23" x14ac:dyDescent="0.25">
      <c r="R178" s="157"/>
      <c r="S178" s="157"/>
      <c r="T178" s="157"/>
      <c r="U178" s="157"/>
      <c r="V178" s="157"/>
      <c r="W178" s="157"/>
    </row>
    <row r="179" spans="18:23" x14ac:dyDescent="0.25">
      <c r="R179" s="157"/>
      <c r="S179" s="157"/>
      <c r="T179" s="157"/>
      <c r="U179" s="157"/>
      <c r="V179" s="157"/>
      <c r="W179" s="157"/>
    </row>
    <row r="180" spans="18:23" x14ac:dyDescent="0.25">
      <c r="R180" s="157"/>
      <c r="S180" s="157"/>
      <c r="T180" s="157"/>
      <c r="U180" s="157"/>
      <c r="V180" s="157"/>
      <c r="W180" s="157"/>
    </row>
    <row r="181" spans="18:23" x14ac:dyDescent="0.25">
      <c r="R181" s="157"/>
      <c r="S181" s="157"/>
      <c r="T181" s="157"/>
      <c r="U181" s="157"/>
      <c r="V181" s="157"/>
      <c r="W181" s="157"/>
    </row>
    <row r="182" spans="18:23" x14ac:dyDescent="0.25">
      <c r="R182" s="157"/>
      <c r="S182" s="157"/>
      <c r="T182" s="157"/>
      <c r="U182" s="157"/>
      <c r="V182" s="157"/>
      <c r="W182" s="157"/>
    </row>
    <row r="183" spans="18:23" x14ac:dyDescent="0.25">
      <c r="R183" s="157"/>
      <c r="S183" s="157"/>
      <c r="T183" s="157"/>
      <c r="U183" s="157"/>
      <c r="V183" s="157"/>
      <c r="W183" s="157"/>
    </row>
    <row r="184" spans="18:23" x14ac:dyDescent="0.25">
      <c r="R184" s="157"/>
      <c r="S184" s="157"/>
      <c r="T184" s="157"/>
      <c r="U184" s="157"/>
      <c r="V184" s="157"/>
      <c r="W184" s="157"/>
    </row>
    <row r="185" spans="18:23" x14ac:dyDescent="0.25">
      <c r="R185" s="157"/>
      <c r="S185" s="157"/>
      <c r="T185" s="157"/>
      <c r="U185" s="157"/>
      <c r="V185" s="157"/>
      <c r="W185" s="157"/>
    </row>
    <row r="186" spans="18:23" x14ac:dyDescent="0.25">
      <c r="R186" s="157"/>
      <c r="S186" s="157"/>
      <c r="T186" s="157"/>
      <c r="U186" s="157"/>
      <c r="V186" s="157"/>
      <c r="W186" s="157"/>
    </row>
    <row r="187" spans="18:23" x14ac:dyDescent="0.25">
      <c r="R187" s="157"/>
      <c r="S187" s="157"/>
      <c r="T187" s="157"/>
      <c r="U187" s="157"/>
      <c r="V187" s="157"/>
      <c r="W187" s="157"/>
    </row>
    <row r="188" spans="18:23" x14ac:dyDescent="0.25">
      <c r="R188" s="157"/>
      <c r="S188" s="157"/>
      <c r="T188" s="157"/>
      <c r="U188" s="157"/>
      <c r="V188" s="157"/>
      <c r="W188" s="157"/>
    </row>
    <row r="189" spans="18:23" x14ac:dyDescent="0.25">
      <c r="R189" s="157"/>
      <c r="S189" s="157"/>
      <c r="T189" s="157"/>
      <c r="U189" s="157"/>
      <c r="V189" s="157"/>
      <c r="W189" s="157"/>
    </row>
  </sheetData>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1:C18">
    <cfRule type="expression" dxfId="363" priority="117" stopIfTrue="1">
      <formula>B11=3</formula>
    </cfRule>
    <cfRule type="expression" dxfId="362" priority="118" stopIfTrue="1">
      <formula>B11=4</formula>
    </cfRule>
    <cfRule type="expression" dxfId="361" priority="119" stopIfTrue="1">
      <formula>B11=5</formula>
    </cfRule>
  </conditionalFormatting>
  <conditionalFormatting sqref="F5:F40">
    <cfRule type="expression" dxfId="360" priority="113">
      <formula>$H5=0</formula>
    </cfRule>
    <cfRule type="expression" dxfId="359" priority="116">
      <formula>$H5=0</formula>
    </cfRule>
  </conditionalFormatting>
  <conditionalFormatting sqref="H5:H40">
    <cfRule type="cellIs" dxfId="358" priority="120" stopIfTrue="1" operator="between">
      <formula>0.1</formula>
      <formula>1.9</formula>
    </cfRule>
    <cfRule type="cellIs" dxfId="357" priority="121" stopIfTrue="1" operator="between">
      <formula>3</formula>
      <formula>3.9</formula>
    </cfRule>
    <cfRule type="cellIs" dxfId="356" priority="122" stopIfTrue="1" operator="between">
      <formula>4</formula>
      <formula>5</formula>
    </cfRule>
  </conditionalFormatting>
  <conditionalFormatting sqref="F5:F40">
    <cfRule type="expression" dxfId="355" priority="114">
      <formula>$H5&lt;#REF!</formula>
    </cfRule>
    <cfRule type="expression" dxfId="354" priority="115">
      <formula>$H5&gt;=#REF!</formula>
    </cfRule>
  </conditionalFormatting>
  <conditionalFormatting sqref="E5:E40">
    <cfRule type="expression" dxfId="353" priority="107">
      <formula>$D5=3</formula>
    </cfRule>
    <cfRule type="expression" dxfId="352" priority="108">
      <formula>$D5=4</formula>
    </cfRule>
    <cfRule type="expression" dxfId="351" priority="109">
      <formula>$D5=5</formula>
    </cfRule>
    <cfRule type="expression" dxfId="350" priority="110">
      <formula>$D5=8</formula>
    </cfRule>
    <cfRule type="expression" dxfId="349" priority="111">
      <formula>$D5=7</formula>
    </cfRule>
    <cfRule type="expression" dxfId="348" priority="112">
      <formula>$D5=6</formula>
    </cfRule>
  </conditionalFormatting>
  <conditionalFormatting sqref="C11:C18">
    <cfRule type="cellIs" dxfId="347" priority="103" operator="equal">
      <formula>""</formula>
    </cfRule>
    <cfRule type="expression" dxfId="346" priority="104" stopIfTrue="1">
      <formula>B11=8</formula>
    </cfRule>
    <cfRule type="expression" dxfId="345" priority="105" stopIfTrue="1">
      <formula>B11=7</formula>
    </cfRule>
    <cfRule type="expression" dxfId="344" priority="106" stopIfTrue="1">
      <formula>B11=6</formula>
    </cfRule>
  </conditionalFormatting>
  <conditionalFormatting sqref="C29:C40">
    <cfRule type="expression" dxfId="343" priority="100" stopIfTrue="1">
      <formula>B29=3</formula>
    </cfRule>
    <cfRule type="expression" dxfId="342" priority="101" stopIfTrue="1">
      <formula>B29=4</formula>
    </cfRule>
    <cfRule type="expression" dxfId="341" priority="102" stopIfTrue="1">
      <formula>B29=5</formula>
    </cfRule>
  </conditionalFormatting>
  <conditionalFormatting sqref="C29:C40">
    <cfRule type="cellIs" dxfId="340" priority="96" operator="equal">
      <formula>""</formula>
    </cfRule>
    <cfRule type="expression" dxfId="339" priority="97" stopIfTrue="1">
      <formula>B29=8</formula>
    </cfRule>
    <cfRule type="expression" dxfId="338" priority="98" stopIfTrue="1">
      <formula>B29=7</formula>
    </cfRule>
    <cfRule type="expression" dxfId="337" priority="99" stopIfTrue="1">
      <formula>B29=6</formula>
    </cfRule>
  </conditionalFormatting>
  <conditionalFormatting sqref="G42:G46">
    <cfRule type="cellIs" dxfId="336" priority="95" operator="notEqual">
      <formula>""</formula>
    </cfRule>
  </conditionalFormatting>
  <conditionalFormatting sqref="S7:U7 S9:U9 S11:U11">
    <cfRule type="cellIs" dxfId="335" priority="94" operator="equal">
      <formula>0</formula>
    </cfRule>
  </conditionalFormatting>
  <conditionalFormatting sqref="V13 V15">
    <cfRule type="cellIs" dxfId="334" priority="93" operator="equal">
      <formula>0</formula>
    </cfRule>
  </conditionalFormatting>
  <conditionalFormatting sqref="R13 R15">
    <cfRule type="cellIs" dxfId="333" priority="92" operator="equal">
      <formula>0</formula>
    </cfRule>
  </conditionalFormatting>
  <conditionalFormatting sqref="R7 R9 R11">
    <cfRule type="cellIs" dxfId="332" priority="91" operator="equal">
      <formula>0</formula>
    </cfRule>
  </conditionalFormatting>
  <conditionalFormatting sqref="V7 V9 V11">
    <cfRule type="cellIs" dxfId="331" priority="90" operator="equal">
      <formula>0</formula>
    </cfRule>
  </conditionalFormatting>
  <conditionalFormatting sqref="S13:U13 S15:U15">
    <cfRule type="cellIs" dxfId="330" priority="89" operator="equal">
      <formula>0</formula>
    </cfRule>
  </conditionalFormatting>
  <conditionalFormatting sqref="R6">
    <cfRule type="cellIs" dxfId="329" priority="88" operator="equal">
      <formula>0</formula>
    </cfRule>
  </conditionalFormatting>
  <conditionalFormatting sqref="V6">
    <cfRule type="cellIs" dxfId="328" priority="87" operator="equal">
      <formula>0</formula>
    </cfRule>
  </conditionalFormatting>
  <conditionalFormatting sqref="I5:I40">
    <cfRule type="cellIs" dxfId="327" priority="84" stopIfTrue="1" operator="between">
      <formula>"D-3"</formula>
      <formula>"E-5"</formula>
    </cfRule>
    <cfRule type="cellIs" dxfId="326" priority="85" stopIfTrue="1" operator="between">
      <formula>"B-2"</formula>
      <formula>"B-3"</formula>
    </cfRule>
    <cfRule type="cellIs" dxfId="325" priority="86" stopIfTrue="1" operator="between">
      <formula>"A-1"</formula>
      <formula>"A-2"</formula>
    </cfRule>
  </conditionalFormatting>
  <conditionalFormatting sqref="I5:I40">
    <cfRule type="cellIs" dxfId="324" priority="82" operator="equal">
      <formula>"E-5-"</formula>
    </cfRule>
    <cfRule type="cellIs" dxfId="323" priority="83" operator="equal">
      <formula>"A-1+"</formula>
    </cfRule>
  </conditionalFormatting>
  <conditionalFormatting sqref="C42:C46">
    <cfRule type="cellIs" dxfId="322" priority="74" operator="notEqual">
      <formula>""</formula>
    </cfRule>
  </conditionalFormatting>
  <conditionalFormatting sqref="L5:L40">
    <cfRule type="cellIs" dxfId="321" priority="47" stopIfTrue="1" operator="between">
      <formula>0.1</formula>
      <formula>1.9</formula>
    </cfRule>
    <cfRule type="cellIs" dxfId="320" priority="48" stopIfTrue="1" operator="between">
      <formula>3</formula>
      <formula>3.9</formula>
    </cfRule>
    <cfRule type="cellIs" dxfId="319" priority="49" stopIfTrue="1" operator="between">
      <formula>4</formula>
      <formula>5</formula>
    </cfRule>
  </conditionalFormatting>
  <conditionalFormatting sqref="J5:J40">
    <cfRule type="cellIs" dxfId="318" priority="45" operator="equal">
      <formula>"*"</formula>
    </cfRule>
    <cfRule type="cellIs" dxfId="317" priority="46" operator="equal">
      <formula>"!"</formula>
    </cfRule>
  </conditionalFormatting>
  <conditionalFormatting sqref="N5:N40">
    <cfRule type="cellIs" dxfId="316" priority="43" operator="equal">
      <formula>"*"</formula>
    </cfRule>
    <cfRule type="cellIs" dxfId="315" priority="44" operator="equal">
      <formula>"!"</formula>
    </cfRule>
  </conditionalFormatting>
  <conditionalFormatting sqref="M5:M40">
    <cfRule type="cellIs" dxfId="314" priority="40" stopIfTrue="1" operator="between">
      <formula>"D-3"</formula>
      <formula>"E-5"</formula>
    </cfRule>
    <cfRule type="cellIs" dxfId="313" priority="41" stopIfTrue="1" operator="between">
      <formula>"B-2"</formula>
      <formula>"B-3"</formula>
    </cfRule>
    <cfRule type="cellIs" dxfId="312" priority="42" stopIfTrue="1" operator="between">
      <formula>"A-1"</formula>
      <formula>"A-2"</formula>
    </cfRule>
  </conditionalFormatting>
  <conditionalFormatting sqref="M5:M40">
    <cfRule type="cellIs" dxfId="311" priority="38" operator="equal">
      <formula>"E-5-"</formula>
    </cfRule>
    <cfRule type="cellIs" dxfId="310" priority="39" operator="equal">
      <formula>"A-1+"</formula>
    </cfRule>
  </conditionalFormatting>
  <conditionalFormatting sqref="C9:C10">
    <cfRule type="expression" dxfId="309" priority="35" stopIfTrue="1">
      <formula>B9=3</formula>
    </cfRule>
    <cfRule type="expression" dxfId="308" priority="36" stopIfTrue="1">
      <formula>B9=4</formula>
    </cfRule>
    <cfRule type="expression" dxfId="307" priority="37" stopIfTrue="1">
      <formula>B9=5</formula>
    </cfRule>
  </conditionalFormatting>
  <conditionalFormatting sqref="C9:C10">
    <cfRule type="cellIs" dxfId="306" priority="31" operator="equal">
      <formula>""</formula>
    </cfRule>
    <cfRule type="expression" dxfId="305" priority="32" stopIfTrue="1">
      <formula>B9=8</formula>
    </cfRule>
    <cfRule type="expression" dxfId="304" priority="33" stopIfTrue="1">
      <formula>B9=7</formula>
    </cfRule>
    <cfRule type="expression" dxfId="303" priority="34" stopIfTrue="1">
      <formula>B9=6</formula>
    </cfRule>
  </conditionalFormatting>
  <conditionalFormatting sqref="C7:C8">
    <cfRule type="expression" dxfId="302" priority="28" stopIfTrue="1">
      <formula>B7=3</formula>
    </cfRule>
    <cfRule type="expression" dxfId="301" priority="29" stopIfTrue="1">
      <formula>B7=4</formula>
    </cfRule>
    <cfRule type="expression" dxfId="300" priority="30" stopIfTrue="1">
      <formula>B7=5</formula>
    </cfRule>
  </conditionalFormatting>
  <conditionalFormatting sqref="C7:C8">
    <cfRule type="cellIs" dxfId="299" priority="24" operator="equal">
      <formula>""</formula>
    </cfRule>
    <cfRule type="expression" dxfId="298" priority="25" stopIfTrue="1">
      <formula>B7=8</formula>
    </cfRule>
    <cfRule type="expression" dxfId="297" priority="26" stopIfTrue="1">
      <formula>B7=7</formula>
    </cfRule>
    <cfRule type="expression" dxfId="296" priority="27" stopIfTrue="1">
      <formula>B7=6</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AA189"/>
  <sheetViews>
    <sheetView showGridLines="0" showRowColHeaders="0" topLeftCell="A28" zoomScaleNormal="100" workbookViewId="0">
      <selection activeCell="C37" sqref="C37"/>
    </sheetView>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5.7265625" style="90" customWidth="1"/>
    <col min="12" max="12" width="5.7265625" style="88" customWidth="1"/>
    <col min="13" max="13" width="5.7265625" style="83" customWidth="1"/>
    <col min="14" max="14" width="3.1796875" style="83" customWidth="1"/>
    <col min="15" max="15" width="4.81640625" style="83" bestFit="1" customWidth="1"/>
    <col min="16" max="16" width="60.7265625" style="83" customWidth="1"/>
    <col min="17" max="17" width="6.7265625" style="83" customWidth="1"/>
    <col min="18" max="22" width="7.26953125" style="87" customWidth="1"/>
    <col min="23" max="25" width="6.7265625" style="87" customWidth="1"/>
    <col min="26" max="26" width="6.26953125" style="87" customWidth="1"/>
    <col min="27" max="27" width="9.1796875" style="87"/>
    <col min="28" max="16384" width="9.1796875" style="83"/>
  </cols>
  <sheetData>
    <row r="1" spans="1:24" s="79" customFormat="1" ht="30" customHeight="1" thickBot="1" x14ac:dyDescent="0.65">
      <c r="B1" s="80"/>
      <c r="C1" s="960" t="s">
        <v>146</v>
      </c>
      <c r="D1" s="961"/>
      <c r="E1" s="961"/>
      <c r="F1" s="961"/>
      <c r="G1" s="961"/>
      <c r="H1" s="961"/>
      <c r="I1" s="961"/>
      <c r="J1" s="961"/>
      <c r="K1" s="938" t="str">
        <f>BEGINBLAD!$I$3</f>
        <v>groep 7</v>
      </c>
      <c r="L1" s="938"/>
      <c r="M1" s="938"/>
      <c r="N1" s="938"/>
      <c r="O1" s="938"/>
      <c r="P1" s="241"/>
      <c r="X1" s="82"/>
    </row>
    <row r="2" spans="1:24" ht="24" customHeight="1" x14ac:dyDescent="0.25">
      <c r="C2" s="953" t="str">
        <f>BEGINBLAD!$N$3</f>
        <v>nov.</v>
      </c>
      <c r="D2" s="953"/>
      <c r="E2" s="242"/>
      <c r="F2" s="244" t="str">
        <f>BEGINBLAD!$O$3</f>
        <v>apr.</v>
      </c>
      <c r="G2" s="954">
        <f>BEGINBLAD!$P$3</f>
        <v>2020</v>
      </c>
      <c r="H2" s="954"/>
      <c r="I2" s="954"/>
      <c r="M2" s="85"/>
      <c r="N2" s="86"/>
      <c r="O2" s="86"/>
    </row>
    <row r="3" spans="1:24" ht="13" thickBot="1" x14ac:dyDescent="0.3">
      <c r="M3" s="91"/>
      <c r="N3" s="91"/>
      <c r="O3" s="91"/>
      <c r="P3" s="91"/>
    </row>
    <row r="4" spans="1:24" ht="140.15" customHeight="1" x14ac:dyDescent="0.25">
      <c r="C4" s="92"/>
      <c r="D4" s="93"/>
      <c r="E4" s="94"/>
      <c r="F4" s="95" t="s">
        <v>5</v>
      </c>
      <c r="G4" s="96" t="s">
        <v>65</v>
      </c>
      <c r="H4" s="97" t="s">
        <v>147</v>
      </c>
      <c r="I4" s="98" t="s">
        <v>15</v>
      </c>
      <c r="J4" s="237"/>
      <c r="K4" s="96" t="s">
        <v>65</v>
      </c>
      <c r="L4" s="100" t="s">
        <v>148</v>
      </c>
      <c r="M4" s="98" t="s">
        <v>15</v>
      </c>
      <c r="N4" s="237"/>
      <c r="O4" s="102"/>
    </row>
    <row r="5" spans="1:24" ht="19.5" customHeight="1" x14ac:dyDescent="0.25">
      <c r="A5" s="103"/>
      <c r="B5" s="913" t="s">
        <v>2</v>
      </c>
      <c r="C5" s="104" t="s">
        <v>68</v>
      </c>
      <c r="D5" s="105">
        <v>0</v>
      </c>
      <c r="E5" s="106">
        <v>1</v>
      </c>
      <c r="F5" s="175" t="str">
        <f>BEGINBLAD!C5</f>
        <v>leerling 1</v>
      </c>
      <c r="G5" s="108">
        <f>'NIVEAU WAARDE - vorig jaar'!G9</f>
        <v>1.3</v>
      </c>
      <c r="H5" s="109">
        <f>'NIVEAU WAARDE - 1e toetsperiode'!G9</f>
        <v>3.1</v>
      </c>
      <c r="I5" s="110" t="str">
        <f>IF(H5=0,"",IF(H5&gt;4.5,"A-1+",IF(H5&gt;4,"A-1",IF(H5&gt;=4,"A-2",IF(H5&gt;3.4,"B-2",IF(H5&gt;=3,"B-3",IF(H5&gt;2.5,"C-3",IF(H5&gt;=2,"C-4",IF(H5&gt;1.6,"D-4",IF(H5&gt;=1,"D-5",IF(H5&gt;0.5,"E-5",IF(H5&gt;=0,"E-5-"))))))))))))</f>
        <v>B-3</v>
      </c>
      <c r="J5" s="238" t="str">
        <f>IF(H5=0,"",IF(G5-H5&gt;0.5,"!",IF(H5-G5&gt;0.5,"*",IF(H5-G5&lt;=0.5,""))))</f>
        <v>*</v>
      </c>
      <c r="K5" s="246">
        <f>'NIVEAU WAARDE - vorig jaar'!H9</f>
        <v>2.1</v>
      </c>
      <c r="L5" s="111">
        <f>'NIVEAU WAARDE - 1e toetsperiode'!H9</f>
        <v>2.1</v>
      </c>
      <c r="M5" s="110" t="str">
        <f>IF(L5=0,"",IF(L5&gt;4.5,"A-1+",IF(L5&gt;4,"A-1",IF(L5&gt;=4,"A-2",IF(L5&gt;3.4,"B-2",IF(L5&gt;=3,"B-3",IF(L5&gt;2.5,"C-3",IF(L5&gt;=2,"C-4",IF(L5&gt;1.6,"D-4",IF(L5&gt;=1,"D-5",IF(L5&gt;0.5,"E-5",IF(L5&gt;=0,"E-5-"))))))))))))</f>
        <v>C-4</v>
      </c>
      <c r="N5" s="238" t="str">
        <f>IF(L5=0,"",IF(K5-L5&gt;0.5,"!",IF(L5-K5&gt;0.5,"*",IF(L5-K5&lt;=0.5,""))))</f>
        <v/>
      </c>
      <c r="O5" s="113"/>
    </row>
    <row r="6" spans="1:24" ht="19.5" customHeight="1" x14ac:dyDescent="0.25">
      <c r="A6" s="103"/>
      <c r="B6" s="913"/>
      <c r="C6" s="114" t="s">
        <v>69</v>
      </c>
      <c r="D6" s="105">
        <v>0</v>
      </c>
      <c r="E6" s="106">
        <v>2</v>
      </c>
      <c r="F6" s="107" t="str">
        <f>BEGINBLAD!C6</f>
        <v>leerling 2</v>
      </c>
      <c r="G6" s="108">
        <f>'NIVEAU WAARDE - vorig jaar'!G10</f>
        <v>1.6</v>
      </c>
      <c r="H6" s="109">
        <f>'NIVEAU WAARDE - 1e toetsperiode'!G10</f>
        <v>2.7</v>
      </c>
      <c r="I6" s="110" t="str">
        <f t="shared" ref="I6:I40" si="0">IF(H6=0,"",IF(H6&gt;4.5,"A-1+",IF(H6&gt;4,"A-1",IF(H6&gt;=4,"A-2",IF(H6&gt;3.4,"B-2",IF(H6&gt;=3,"B-3",IF(H6&gt;2.5,"C-3",IF(H6&gt;=2,"C-4",IF(H6&gt;1.6,"D-4",IF(H6&gt;=1,"D-5",IF(H6&gt;0.5,"E-5",IF(H6&gt;=0,"E-5-"))))))))))))</f>
        <v>C-3</v>
      </c>
      <c r="J6" s="238" t="str">
        <f t="shared" ref="J6:J40" si="1">IF(H6=0,"",IF(G6-H6&gt;0.5,"!",IF(H6-G6&gt;0.5,"*",IF(H6-G6&lt;=0.5,""))))</f>
        <v>*</v>
      </c>
      <c r="K6" s="246">
        <f>'NIVEAU WAARDE - vorig jaar'!H10</f>
        <v>2.2000000000000002</v>
      </c>
      <c r="L6" s="111">
        <f>'NIVEAU WAARDE - 1e toetsperiode'!H10</f>
        <v>2.6</v>
      </c>
      <c r="M6" s="110" t="str">
        <f>IF(L6=0,"",IF(L6&gt;4.5,"A-1+",IF(L6&gt;4,"A-1",IF(L6&gt;=4,"A-2",IF(L6&gt;3.4,"B-2",IF(L6&gt;=3,"B-3",IF(L6&gt;2.5,"C-3",IF(L6&gt;=2,"C-4",IF(L6&gt;1.6,"D-4",IF(L6&gt;=1,"D-5",IF(L6&gt;0.5,"E-5",IF(L6&gt;=0,"E-5-"))))))))))))</f>
        <v>C-3</v>
      </c>
      <c r="N6" s="238" t="str">
        <f>IF(L6=0,"",IF(K6-L6&gt;0.5,"!",IF(L6-K6&gt;0.5,"*",IF(L6-K6&lt;=0.5,""))))</f>
        <v/>
      </c>
      <c r="O6" s="113"/>
      <c r="R6" s="158"/>
      <c r="S6" s="158"/>
      <c r="T6" s="158"/>
      <c r="U6" s="158"/>
      <c r="V6" s="158"/>
    </row>
    <row r="7" spans="1:24" ht="19.5" customHeight="1" x14ac:dyDescent="0.25">
      <c r="A7" s="115"/>
      <c r="B7" s="369">
        <v>8</v>
      </c>
      <c r="C7" s="371" t="s">
        <v>466</v>
      </c>
      <c r="D7" s="105">
        <v>0</v>
      </c>
      <c r="E7" s="106">
        <v>3</v>
      </c>
      <c r="F7" s="107" t="str">
        <f>BEGINBLAD!C7</f>
        <v>leerling 3</v>
      </c>
      <c r="G7" s="108">
        <f>'NIVEAU WAARDE - vorig jaar'!G11</f>
        <v>4.0999999999999996</v>
      </c>
      <c r="H7" s="109">
        <f>'NIVEAU WAARDE - 1e toetsperiode'!G11</f>
        <v>4.9000000000000004</v>
      </c>
      <c r="I7" s="110" t="str">
        <f t="shared" si="0"/>
        <v>A-1+</v>
      </c>
      <c r="J7" s="238" t="str">
        <f t="shared" si="1"/>
        <v>*</v>
      </c>
      <c r="K7" s="246">
        <f>'NIVEAU WAARDE - vorig jaar'!H11</f>
        <v>4.3</v>
      </c>
      <c r="L7" s="111">
        <f>'NIVEAU WAARDE - 1e toetsperiode'!H11</f>
        <v>4.5</v>
      </c>
      <c r="M7" s="110" t="str">
        <f t="shared" ref="M7:M40" si="2">IF(L7=0,"",IF(L7&gt;4.5,"A-1+",IF(L7&gt;4,"A-1",IF(L7&gt;=4,"A-2",IF(L7&gt;3.4,"B-2",IF(L7&gt;=3,"B-3",IF(L7&gt;2.5,"C-3",IF(L7&gt;=2,"C-4",IF(L7&gt;1.6,"D-4",IF(L7&gt;=1,"D-5",IF(L7&gt;0.5,"E-5",IF(L7&gt;=0,"E-5-"))))))))))))</f>
        <v>A-1</v>
      </c>
      <c r="N7" s="238" t="str">
        <f t="shared" ref="N7:N40" si="3">IF(L7=0,"",IF(K7-L7&gt;0.5,"!",IF(L7-K7&gt;0.5,"*",IF(L7-K7&lt;=0.5,""))))</f>
        <v/>
      </c>
      <c r="O7" s="113"/>
      <c r="R7" s="159"/>
      <c r="S7" s="159"/>
      <c r="T7" s="159"/>
      <c r="U7" s="159"/>
      <c r="V7" s="159"/>
    </row>
    <row r="8" spans="1:24" ht="19.5" customHeight="1" x14ac:dyDescent="0.25">
      <c r="A8" s="115"/>
      <c r="B8" s="369">
        <v>8</v>
      </c>
      <c r="C8" s="371" t="s">
        <v>467</v>
      </c>
      <c r="D8" s="118">
        <v>0</v>
      </c>
      <c r="E8" s="106">
        <v>4</v>
      </c>
      <c r="F8" s="107" t="str">
        <f>BEGINBLAD!C8</f>
        <v>leerling 4</v>
      </c>
      <c r="G8" s="108">
        <f>'NIVEAU WAARDE - vorig jaar'!G12</f>
        <v>4.5999999999999996</v>
      </c>
      <c r="H8" s="109">
        <f>'NIVEAU WAARDE - 1e toetsperiode'!G12</f>
        <v>4.9000000000000004</v>
      </c>
      <c r="I8" s="110" t="str">
        <f t="shared" si="0"/>
        <v>A-1+</v>
      </c>
      <c r="J8" s="238" t="str">
        <f t="shared" si="1"/>
        <v/>
      </c>
      <c r="K8" s="246">
        <f>'NIVEAU WAARDE - vorig jaar'!H12</f>
        <v>4.4000000000000004</v>
      </c>
      <c r="L8" s="119">
        <f>'NIVEAU WAARDE - 1e toetsperiode'!H12</f>
        <v>4.5999999999999996</v>
      </c>
      <c r="M8" s="110" t="str">
        <f t="shared" si="2"/>
        <v>A-1+</v>
      </c>
      <c r="N8" s="238" t="str">
        <f t="shared" si="3"/>
        <v/>
      </c>
      <c r="O8" s="120"/>
      <c r="R8" s="159"/>
      <c r="S8" s="159"/>
      <c r="T8" s="159"/>
      <c r="U8" s="159"/>
      <c r="V8" s="159"/>
    </row>
    <row r="9" spans="1:24" ht="19.5" customHeight="1" x14ac:dyDescent="0.25">
      <c r="A9" s="115"/>
      <c r="B9" s="369">
        <v>8</v>
      </c>
      <c r="C9" s="371" t="s">
        <v>469</v>
      </c>
      <c r="D9" s="121">
        <v>0</v>
      </c>
      <c r="E9" s="106">
        <v>5</v>
      </c>
      <c r="F9" s="107" t="str">
        <f>BEGINBLAD!C9</f>
        <v>leerling 5</v>
      </c>
      <c r="G9" s="108">
        <f>'NIVEAU WAARDE - vorig jaar'!G13</f>
        <v>4.4000000000000004</v>
      </c>
      <c r="H9" s="109">
        <f>'NIVEAU WAARDE - 1e toetsperiode'!G13</f>
        <v>4.7</v>
      </c>
      <c r="I9" s="110" t="str">
        <f t="shared" si="0"/>
        <v>A-1+</v>
      </c>
      <c r="J9" s="238" t="str">
        <f t="shared" si="1"/>
        <v/>
      </c>
      <c r="K9" s="246">
        <f>'NIVEAU WAARDE - vorig jaar'!H13</f>
        <v>4.2</v>
      </c>
      <c r="L9" s="372">
        <f>'NIVEAU WAARDE - 1e toetsperiode'!H13</f>
        <v>3.7</v>
      </c>
      <c r="M9" s="110" t="str">
        <f t="shared" si="2"/>
        <v>B-2</v>
      </c>
      <c r="N9" s="238" t="str">
        <f t="shared" si="3"/>
        <v/>
      </c>
      <c r="O9" s="123"/>
      <c r="R9" s="159"/>
      <c r="S9" s="159"/>
      <c r="T9" s="159"/>
      <c r="U9" s="159"/>
      <c r="V9" s="159"/>
    </row>
    <row r="10" spans="1:24" ht="19.5" customHeight="1" x14ac:dyDescent="0.25">
      <c r="A10" s="115"/>
      <c r="B10" s="369">
        <v>8</v>
      </c>
      <c r="C10" s="371" t="s">
        <v>461</v>
      </c>
      <c r="D10" s="124">
        <v>0</v>
      </c>
      <c r="E10" s="106">
        <v>6</v>
      </c>
      <c r="F10" s="107" t="str">
        <f>BEGINBLAD!C10</f>
        <v>leerling 6</v>
      </c>
      <c r="G10" s="108">
        <f>'NIVEAU WAARDE - vorig jaar'!G14</f>
        <v>0.9</v>
      </c>
      <c r="H10" s="109">
        <f>'NIVEAU WAARDE - 1e toetsperiode'!G14</f>
        <v>1.2</v>
      </c>
      <c r="I10" s="110" t="str">
        <f t="shared" si="0"/>
        <v>D-5</v>
      </c>
      <c r="J10" s="238" t="str">
        <f t="shared" si="1"/>
        <v/>
      </c>
      <c r="K10" s="246">
        <f>'NIVEAU WAARDE - vorig jaar'!H14</f>
        <v>2.8</v>
      </c>
      <c r="L10" s="372">
        <f>'NIVEAU WAARDE - 1e toetsperiode'!H14</f>
        <v>1.7</v>
      </c>
      <c r="M10" s="110" t="str">
        <f t="shared" si="2"/>
        <v>D-4</v>
      </c>
      <c r="N10" s="238" t="str">
        <f t="shared" si="3"/>
        <v>!</v>
      </c>
      <c r="O10" s="125"/>
      <c r="R10" s="159"/>
      <c r="S10" s="159"/>
      <c r="T10" s="159"/>
      <c r="U10" s="159"/>
      <c r="V10" s="159"/>
    </row>
    <row r="11" spans="1:24" ht="19.5" customHeight="1" x14ac:dyDescent="0.25">
      <c r="A11" s="115"/>
      <c r="B11" s="369">
        <v>8</v>
      </c>
      <c r="C11" s="371" t="s">
        <v>465</v>
      </c>
      <c r="D11" s="124">
        <v>0</v>
      </c>
      <c r="E11" s="106">
        <v>7</v>
      </c>
      <c r="F11" s="107" t="str">
        <f>BEGINBLAD!C11</f>
        <v>leerling 7</v>
      </c>
      <c r="G11" s="108">
        <f>'NIVEAU WAARDE - vorig jaar'!G15</f>
        <v>2.2999999999999998</v>
      </c>
      <c r="H11" s="109">
        <f>'NIVEAU WAARDE - 1e toetsperiode'!G15</f>
        <v>3.1</v>
      </c>
      <c r="I11" s="110" t="str">
        <f t="shared" si="0"/>
        <v>B-3</v>
      </c>
      <c r="J11" s="238" t="str">
        <f t="shared" si="1"/>
        <v>*</v>
      </c>
      <c r="K11" s="246">
        <f>'NIVEAU WAARDE - vorig jaar'!H15</f>
        <v>3.8</v>
      </c>
      <c r="L11" s="372">
        <f>'NIVEAU WAARDE - 1e toetsperiode'!H15</f>
        <v>3.8</v>
      </c>
      <c r="M11" s="110" t="str">
        <f t="shared" si="2"/>
        <v>B-2</v>
      </c>
      <c r="N11" s="238" t="str">
        <f t="shared" si="3"/>
        <v/>
      </c>
      <c r="O11" s="91"/>
      <c r="R11" s="159"/>
      <c r="S11" s="159"/>
      <c r="T11" s="159"/>
      <c r="U11" s="159"/>
      <c r="V11" s="159"/>
    </row>
    <row r="12" spans="1:24" ht="19.5" customHeight="1" x14ac:dyDescent="0.25">
      <c r="A12" s="115"/>
      <c r="B12" s="369"/>
      <c r="C12" s="371"/>
      <c r="D12" s="105">
        <v>0</v>
      </c>
      <c r="E12" s="106">
        <v>8</v>
      </c>
      <c r="F12" s="107" t="str">
        <f>BEGINBLAD!C12</f>
        <v>leerling 8</v>
      </c>
      <c r="G12" s="108">
        <f>'NIVEAU WAARDE - vorig jaar'!G16</f>
        <v>2.9</v>
      </c>
      <c r="H12" s="109">
        <f>'NIVEAU WAARDE - 1e toetsperiode'!G16</f>
        <v>3.1</v>
      </c>
      <c r="I12" s="110" t="str">
        <f t="shared" si="0"/>
        <v>B-3</v>
      </c>
      <c r="J12" s="238" t="str">
        <f t="shared" si="1"/>
        <v/>
      </c>
      <c r="K12" s="246">
        <f>'NIVEAU WAARDE - vorig jaar'!H16</f>
        <v>4.0999999999999996</v>
      </c>
      <c r="L12" s="372">
        <f>'NIVEAU WAARDE - 1e toetsperiode'!H16</f>
        <v>3.6</v>
      </c>
      <c r="M12" s="110" t="str">
        <f t="shared" si="2"/>
        <v>B-2</v>
      </c>
      <c r="N12" s="238" t="str">
        <f t="shared" si="3"/>
        <v/>
      </c>
      <c r="O12" s="102"/>
      <c r="R12" s="159"/>
      <c r="S12" s="159"/>
      <c r="T12" s="159"/>
      <c r="U12" s="159"/>
      <c r="V12" s="159"/>
    </row>
    <row r="13" spans="1:24" ht="19.5" customHeight="1" x14ac:dyDescent="0.25">
      <c r="A13" s="115"/>
      <c r="B13" s="369">
        <v>8</v>
      </c>
      <c r="C13" s="371" t="s">
        <v>245</v>
      </c>
      <c r="D13" s="105">
        <v>0</v>
      </c>
      <c r="E13" s="106">
        <v>9</v>
      </c>
      <c r="F13" s="107" t="str">
        <f>BEGINBLAD!C13</f>
        <v>leerling 9</v>
      </c>
      <c r="G13" s="108">
        <f>'NIVEAU WAARDE - vorig jaar'!G17</f>
        <v>2.8</v>
      </c>
      <c r="H13" s="109">
        <f>'NIVEAU WAARDE - 1e toetsperiode'!G17</f>
        <v>3.3</v>
      </c>
      <c r="I13" s="110" t="str">
        <f t="shared" si="0"/>
        <v>B-3</v>
      </c>
      <c r="J13" s="238" t="str">
        <f t="shared" si="1"/>
        <v/>
      </c>
      <c r="K13" s="246">
        <f>'NIVEAU WAARDE - vorig jaar'!H17</f>
        <v>4.0999999999999996</v>
      </c>
      <c r="L13" s="372">
        <f>'NIVEAU WAARDE - 1e toetsperiode'!H17</f>
        <v>4.0999999999999996</v>
      </c>
      <c r="M13" s="110" t="str">
        <f t="shared" si="2"/>
        <v>A-1</v>
      </c>
      <c r="N13" s="238" t="str">
        <f t="shared" si="3"/>
        <v/>
      </c>
      <c r="O13" s="113"/>
      <c r="R13" s="160"/>
      <c r="S13" s="160"/>
      <c r="T13" s="160"/>
      <c r="U13" s="160"/>
      <c r="V13" s="160"/>
    </row>
    <row r="14" spans="1:24" ht="19.5" customHeight="1" thickBot="1" x14ac:dyDescent="0.3">
      <c r="A14" s="115"/>
      <c r="B14" s="369"/>
      <c r="C14" s="371"/>
      <c r="D14" s="105">
        <v>0</v>
      </c>
      <c r="E14" s="106">
        <v>10</v>
      </c>
      <c r="F14" s="107" t="str">
        <f>BEGINBLAD!C14</f>
        <v>leerling 10</v>
      </c>
      <c r="G14" s="108">
        <f>'NIVEAU WAARDE - vorig jaar'!G18</f>
        <v>3.2</v>
      </c>
      <c r="H14" s="109">
        <f>'NIVEAU WAARDE - 1e toetsperiode'!G18</f>
        <v>4.9000000000000004</v>
      </c>
      <c r="I14" s="110" t="str">
        <f t="shared" si="0"/>
        <v>A-1+</v>
      </c>
      <c r="J14" s="238" t="str">
        <f t="shared" si="1"/>
        <v>*</v>
      </c>
      <c r="K14" s="246">
        <f>'NIVEAU WAARDE - vorig jaar'!H18</f>
        <v>4.4000000000000004</v>
      </c>
      <c r="L14" s="372">
        <f>'NIVEAU WAARDE - 1e toetsperiode'!H18</f>
        <v>4.0999999999999996</v>
      </c>
      <c r="M14" s="110" t="str">
        <f t="shared" si="2"/>
        <v>A-1</v>
      </c>
      <c r="N14" s="238" t="str">
        <f t="shared" si="3"/>
        <v/>
      </c>
      <c r="O14" s="120"/>
      <c r="P14" s="126" t="s">
        <v>13</v>
      </c>
      <c r="R14" s="160"/>
      <c r="S14" s="160"/>
      <c r="T14" s="160"/>
      <c r="U14" s="160"/>
      <c r="V14" s="160"/>
    </row>
    <row r="15" spans="1:24" ht="19.5" customHeight="1" x14ac:dyDescent="0.25">
      <c r="A15" s="115"/>
      <c r="B15" s="369"/>
      <c r="C15" s="371"/>
      <c r="D15" s="105">
        <v>0</v>
      </c>
      <c r="E15" s="106">
        <v>11</v>
      </c>
      <c r="F15" s="107" t="str">
        <f>BEGINBLAD!C15</f>
        <v>leerling 11</v>
      </c>
      <c r="G15" s="108">
        <f>'NIVEAU WAARDE - vorig jaar'!G19</f>
        <v>2.7</v>
      </c>
      <c r="H15" s="109">
        <f>'NIVEAU WAARDE - 1e toetsperiode'!G19</f>
        <v>3.1</v>
      </c>
      <c r="I15" s="110" t="str">
        <f t="shared" si="0"/>
        <v>B-3</v>
      </c>
      <c r="J15" s="238" t="str">
        <f t="shared" si="1"/>
        <v/>
      </c>
      <c r="K15" s="246">
        <f>'NIVEAU WAARDE - vorig jaar'!H19</f>
        <v>3.5</v>
      </c>
      <c r="L15" s="372">
        <f>'NIVEAU WAARDE - 1e toetsperiode'!H19</f>
        <v>3</v>
      </c>
      <c r="M15" s="110" t="str">
        <f t="shared" si="2"/>
        <v>B-3</v>
      </c>
      <c r="N15" s="238" t="str">
        <f t="shared" si="3"/>
        <v/>
      </c>
      <c r="O15" s="957" t="s">
        <v>70</v>
      </c>
      <c r="P15" s="962" t="str">
        <f>'INTENSIEF - 1e periode'!F17</f>
        <v>Niveauwaarde minimaal 0,5 punt omhoog. Actieve leerhouding tijdens instructie.</v>
      </c>
      <c r="R15" s="160"/>
      <c r="S15" s="160"/>
      <c r="T15" s="160"/>
      <c r="U15" s="160"/>
      <c r="V15" s="160"/>
    </row>
    <row r="16" spans="1:24" ht="19.5" customHeight="1" x14ac:dyDescent="0.25">
      <c r="A16" s="115"/>
      <c r="B16" s="116"/>
      <c r="C16" s="117"/>
      <c r="D16" s="105">
        <v>0</v>
      </c>
      <c r="E16" s="106">
        <v>12</v>
      </c>
      <c r="F16" s="107" t="str">
        <f>BEGINBLAD!C16</f>
        <v>leerling 12</v>
      </c>
      <c r="G16" s="108">
        <f>'NIVEAU WAARDE - vorig jaar'!G20</f>
        <v>1.6</v>
      </c>
      <c r="H16" s="109">
        <f>'NIVEAU WAARDE - 1e toetsperiode'!G20</f>
        <v>2.2999999999999998</v>
      </c>
      <c r="I16" s="110" t="str">
        <f t="shared" si="0"/>
        <v>C-4</v>
      </c>
      <c r="J16" s="238" t="str">
        <f t="shared" si="1"/>
        <v>*</v>
      </c>
      <c r="K16" s="246">
        <f>'NIVEAU WAARDE - vorig jaar'!H20</f>
        <v>2.1</v>
      </c>
      <c r="L16" s="372">
        <f>'NIVEAU WAARDE - 1e toetsperiode'!H20</f>
        <v>1.5</v>
      </c>
      <c r="M16" s="110" t="str">
        <f t="shared" si="2"/>
        <v>D-5</v>
      </c>
      <c r="N16" s="238" t="str">
        <f t="shared" si="3"/>
        <v>!</v>
      </c>
      <c r="O16" s="958"/>
      <c r="P16" s="963"/>
      <c r="R16" s="160"/>
      <c r="S16" s="160"/>
      <c r="T16" s="160"/>
      <c r="U16" s="160"/>
      <c r="V16" s="160"/>
    </row>
    <row r="17" spans="1:24" ht="19.5" customHeight="1" x14ac:dyDescent="0.25">
      <c r="A17" s="115"/>
      <c r="B17" s="116"/>
      <c r="C17" s="117"/>
      <c r="D17" s="118">
        <v>0</v>
      </c>
      <c r="E17" s="106">
        <v>13</v>
      </c>
      <c r="F17" s="107" t="str">
        <f>BEGINBLAD!C17</f>
        <v>leerling 13</v>
      </c>
      <c r="G17" s="108">
        <f>'NIVEAU WAARDE - vorig jaar'!G21</f>
        <v>2.8</v>
      </c>
      <c r="H17" s="109">
        <f>'NIVEAU WAARDE - 1e toetsperiode'!G21</f>
        <v>3</v>
      </c>
      <c r="I17" s="110" t="str">
        <f t="shared" si="0"/>
        <v>B-3</v>
      </c>
      <c r="J17" s="238" t="str">
        <f t="shared" si="1"/>
        <v/>
      </c>
      <c r="K17" s="246">
        <f>'NIVEAU WAARDE - vorig jaar'!H21</f>
        <v>4.2</v>
      </c>
      <c r="L17" s="372">
        <f>'NIVEAU WAARDE - 1e toetsperiode'!H21</f>
        <v>4.2</v>
      </c>
      <c r="M17" s="110" t="str">
        <f t="shared" si="2"/>
        <v>A-1</v>
      </c>
      <c r="N17" s="238" t="str">
        <f t="shared" si="3"/>
        <v/>
      </c>
      <c r="O17" s="966" t="s">
        <v>71</v>
      </c>
      <c r="P17" s="964" t="str">
        <f>'INTENSIEF - 1e periode'!F19</f>
        <v>H,K,Y,R,T werken in het Fs boek. 
B heeft werkboek thuis: de lessen worden voorbesproken. Taken maakt hij alleen nog op de computer.</v>
      </c>
      <c r="R17" s="133"/>
      <c r="S17" s="133"/>
      <c r="T17" s="133"/>
      <c r="U17" s="133"/>
      <c r="V17" s="133"/>
    </row>
    <row r="18" spans="1:24" ht="19.5" customHeight="1" x14ac:dyDescent="0.25">
      <c r="A18" s="115"/>
      <c r="B18" s="116"/>
      <c r="C18" s="117"/>
      <c r="D18" s="124">
        <v>0</v>
      </c>
      <c r="E18" s="106">
        <v>14</v>
      </c>
      <c r="F18" s="107" t="str">
        <f>BEGINBLAD!C18</f>
        <v>leerling 14</v>
      </c>
      <c r="G18" s="108">
        <f>'NIVEAU WAARDE - vorig jaar'!G22</f>
        <v>1.7</v>
      </c>
      <c r="H18" s="109">
        <f>'NIVEAU WAARDE - 1e toetsperiode'!G22</f>
        <v>3.8</v>
      </c>
      <c r="I18" s="110" t="str">
        <f t="shared" si="0"/>
        <v>B-2</v>
      </c>
      <c r="J18" s="238" t="str">
        <f t="shared" si="1"/>
        <v>*</v>
      </c>
      <c r="K18" s="246">
        <f>'NIVEAU WAARDE - vorig jaar'!H22</f>
        <v>0.4</v>
      </c>
      <c r="L18" s="372">
        <f>'NIVEAU WAARDE - 1e toetsperiode'!H22</f>
        <v>0.8</v>
      </c>
      <c r="M18" s="110" t="str">
        <f t="shared" si="2"/>
        <v>E-5</v>
      </c>
      <c r="N18" s="238" t="str">
        <f t="shared" si="3"/>
        <v/>
      </c>
      <c r="O18" s="966"/>
      <c r="P18" s="964"/>
      <c r="Q18" s="103"/>
      <c r="R18" s="127"/>
      <c r="S18" s="127"/>
      <c r="T18" s="127"/>
      <c r="U18" s="127"/>
      <c r="V18" s="127"/>
      <c r="W18" s="127"/>
    </row>
    <row r="19" spans="1:24" ht="19.5" customHeight="1" x14ac:dyDescent="0.3">
      <c r="D19" s="124">
        <v>0</v>
      </c>
      <c r="E19" s="106">
        <v>15</v>
      </c>
      <c r="F19" s="107" t="str">
        <f>BEGINBLAD!C19</f>
        <v>leerling 15</v>
      </c>
      <c r="G19" s="108">
        <f>'NIVEAU WAARDE - vorig jaar'!G23</f>
        <v>4.8</v>
      </c>
      <c r="H19" s="109">
        <f>'NIVEAU WAARDE - 1e toetsperiode'!G23</f>
        <v>4.9000000000000004</v>
      </c>
      <c r="I19" s="110" t="str">
        <f t="shared" si="0"/>
        <v>A-1+</v>
      </c>
      <c r="J19" s="238" t="str">
        <f t="shared" si="1"/>
        <v/>
      </c>
      <c r="K19" s="137">
        <f>'NIVEAU WAARDE - vorig jaar'!H23</f>
        <v>4.3</v>
      </c>
      <c r="L19" s="119">
        <f>'NIVEAU WAARDE - 1e toetsperiode'!H23</f>
        <v>3.9</v>
      </c>
      <c r="M19" s="110" t="str">
        <f t="shared" si="2"/>
        <v>B-2</v>
      </c>
      <c r="N19" s="238" t="str">
        <f t="shared" si="3"/>
        <v/>
      </c>
      <c r="O19" s="966"/>
      <c r="P19" s="964"/>
      <c r="Q19" s="129"/>
      <c r="R19" s="130"/>
      <c r="S19" s="130"/>
      <c r="T19" s="130"/>
      <c r="U19" s="131"/>
      <c r="V19" s="131"/>
      <c r="W19" s="131"/>
      <c r="X19" s="132"/>
    </row>
    <row r="20" spans="1:24" ht="19.5" customHeight="1" x14ac:dyDescent="0.25">
      <c r="D20" s="124">
        <v>0</v>
      </c>
      <c r="E20" s="106">
        <v>16</v>
      </c>
      <c r="F20" s="107" t="str">
        <f>BEGINBLAD!C20</f>
        <v>leerling 16</v>
      </c>
      <c r="G20" s="108">
        <f>'NIVEAU WAARDE - vorig jaar'!G24</f>
        <v>4.0999999999999996</v>
      </c>
      <c r="H20" s="109">
        <f>'NIVEAU WAARDE - 1e toetsperiode'!G24</f>
        <v>4.4000000000000004</v>
      </c>
      <c r="I20" s="110" t="str">
        <f t="shared" si="0"/>
        <v>A-1</v>
      </c>
      <c r="J20" s="238" t="str">
        <f t="shared" si="1"/>
        <v/>
      </c>
      <c r="K20" s="137">
        <f>'NIVEAU WAARDE - vorig jaar'!H24</f>
        <v>4.4000000000000004</v>
      </c>
      <c r="L20" s="119">
        <f>'NIVEAU WAARDE - 1e toetsperiode'!H24</f>
        <v>4.0999999999999996</v>
      </c>
      <c r="M20" s="110" t="str">
        <f t="shared" si="2"/>
        <v>A-1</v>
      </c>
      <c r="N20" s="238" t="str">
        <f t="shared" si="3"/>
        <v/>
      </c>
      <c r="O20" s="966"/>
      <c r="P20" s="964"/>
      <c r="Q20" s="129"/>
      <c r="R20" s="133"/>
      <c r="S20" s="133"/>
      <c r="T20" s="133"/>
      <c r="U20" s="133"/>
      <c r="V20" s="133"/>
      <c r="W20" s="133"/>
    </row>
    <row r="21" spans="1:24" ht="19.5" customHeight="1" x14ac:dyDescent="0.25">
      <c r="D21" s="124">
        <v>0</v>
      </c>
      <c r="E21" s="106">
        <v>17</v>
      </c>
      <c r="F21" s="107" t="str">
        <f>BEGINBLAD!C21</f>
        <v>leerling 17</v>
      </c>
      <c r="G21" s="108">
        <f>'NIVEAU WAARDE - vorig jaar'!G25</f>
        <v>2.4</v>
      </c>
      <c r="H21" s="109">
        <f>'NIVEAU WAARDE - 1e toetsperiode'!G25</f>
        <v>3.3</v>
      </c>
      <c r="I21" s="110" t="str">
        <f t="shared" si="0"/>
        <v>B-3</v>
      </c>
      <c r="J21" s="238" t="str">
        <f t="shared" si="1"/>
        <v>*</v>
      </c>
      <c r="K21" s="137">
        <f>'NIVEAU WAARDE - vorig jaar'!H25</f>
        <v>3</v>
      </c>
      <c r="L21" s="134">
        <f>'NIVEAU WAARDE - 1e toetsperiode'!H25</f>
        <v>2.7</v>
      </c>
      <c r="M21" s="110" t="str">
        <f t="shared" si="2"/>
        <v>C-3</v>
      </c>
      <c r="N21" s="238" t="str">
        <f t="shared" si="3"/>
        <v/>
      </c>
      <c r="O21" s="966"/>
      <c r="P21" s="964"/>
      <c r="Q21" s="129"/>
      <c r="R21" s="133"/>
      <c r="S21" s="133"/>
      <c r="T21" s="133"/>
      <c r="U21" s="133"/>
      <c r="V21" s="133"/>
      <c r="W21" s="133"/>
    </row>
    <row r="22" spans="1:24" ht="19.5" customHeight="1" x14ac:dyDescent="0.25">
      <c r="D22" s="124">
        <v>0</v>
      </c>
      <c r="E22" s="106">
        <v>18</v>
      </c>
      <c r="F22" s="107" t="str">
        <f>BEGINBLAD!C22</f>
        <v>leerling 18</v>
      </c>
      <c r="G22" s="108">
        <f>'NIVEAU WAARDE - vorig jaar'!G26</f>
        <v>1.2</v>
      </c>
      <c r="H22" s="109">
        <f>'NIVEAU WAARDE - 1e toetsperiode'!G26</f>
        <v>2.8</v>
      </c>
      <c r="I22" s="110" t="str">
        <f t="shared" si="0"/>
        <v>C-3</v>
      </c>
      <c r="J22" s="238" t="str">
        <f t="shared" si="1"/>
        <v>*</v>
      </c>
      <c r="K22" s="137">
        <f>'NIVEAU WAARDE - vorig jaar'!H26</f>
        <v>3.3</v>
      </c>
      <c r="L22" s="111">
        <f>'NIVEAU WAARDE - 1e toetsperiode'!H26</f>
        <v>3.1</v>
      </c>
      <c r="M22" s="110" t="str">
        <f t="shared" si="2"/>
        <v>B-3</v>
      </c>
      <c r="N22" s="238" t="str">
        <f t="shared" si="3"/>
        <v/>
      </c>
      <c r="O22" s="966"/>
      <c r="P22" s="964"/>
      <c r="Q22" s="129"/>
      <c r="R22" s="133"/>
      <c r="S22" s="133"/>
      <c r="T22" s="133"/>
      <c r="U22" s="133"/>
      <c r="V22" s="133"/>
      <c r="W22" s="133"/>
    </row>
    <row r="23" spans="1:24" ht="19.5" customHeight="1" x14ac:dyDescent="0.25">
      <c r="B23" s="135"/>
      <c r="C23" s="135"/>
      <c r="D23" s="124">
        <v>0</v>
      </c>
      <c r="E23" s="106">
        <v>19</v>
      </c>
      <c r="F23" s="107" t="str">
        <f>BEGINBLAD!C23</f>
        <v>leerling 19</v>
      </c>
      <c r="G23" s="108">
        <f>'NIVEAU WAARDE - vorig jaar'!G27</f>
        <v>1.9</v>
      </c>
      <c r="H23" s="109">
        <f>'NIVEAU WAARDE - 1e toetsperiode'!G27</f>
        <v>2.1</v>
      </c>
      <c r="I23" s="110" t="str">
        <f t="shared" si="0"/>
        <v>C-4</v>
      </c>
      <c r="J23" s="238" t="str">
        <f t="shared" si="1"/>
        <v/>
      </c>
      <c r="K23" s="137">
        <f>'NIVEAU WAARDE - vorig jaar'!H27</f>
        <v>3.1</v>
      </c>
      <c r="L23" s="134">
        <f>'NIVEAU WAARDE - 1e toetsperiode'!H27</f>
        <v>2.8</v>
      </c>
      <c r="M23" s="110" t="str">
        <f t="shared" si="2"/>
        <v>C-3</v>
      </c>
      <c r="N23" s="238" t="str">
        <f t="shared" si="3"/>
        <v/>
      </c>
      <c r="O23" s="966"/>
      <c r="P23" s="964"/>
    </row>
    <row r="24" spans="1:24" ht="19.5" customHeight="1" thickBot="1" x14ac:dyDescent="0.3">
      <c r="B24" s="136"/>
      <c r="C24" s="135"/>
      <c r="D24" s="124">
        <v>0</v>
      </c>
      <c r="E24" s="106">
        <v>20</v>
      </c>
      <c r="F24" s="107" t="str">
        <f>BEGINBLAD!C24</f>
        <v>leerling 20</v>
      </c>
      <c r="G24" s="108">
        <f>'NIVEAU WAARDE - vorig jaar'!G28</f>
        <v>0.9</v>
      </c>
      <c r="H24" s="109">
        <f>'NIVEAU WAARDE - 1e toetsperiode'!G28</f>
        <v>1.7</v>
      </c>
      <c r="I24" s="110" t="str">
        <f t="shared" si="0"/>
        <v>D-4</v>
      </c>
      <c r="J24" s="238" t="str">
        <f t="shared" si="1"/>
        <v>*</v>
      </c>
      <c r="K24" s="137">
        <f>'NIVEAU WAARDE - vorig jaar'!H28</f>
        <v>3</v>
      </c>
      <c r="L24" s="134">
        <f>'NIVEAU WAARDE - 1e toetsperiode'!H28</f>
        <v>2.1</v>
      </c>
      <c r="M24" s="110" t="str">
        <f t="shared" si="2"/>
        <v>C-4</v>
      </c>
      <c r="N24" s="238" t="str">
        <f t="shared" si="3"/>
        <v>!</v>
      </c>
      <c r="O24" s="967"/>
      <c r="P24" s="965"/>
      <c r="Q24" s="129"/>
      <c r="R24" s="133"/>
      <c r="S24" s="133"/>
      <c r="T24" s="133"/>
      <c r="U24" s="133"/>
      <c r="V24" s="133"/>
      <c r="W24" s="133"/>
    </row>
    <row r="25" spans="1:24" ht="19.5" customHeight="1" thickBot="1" x14ac:dyDescent="0.3">
      <c r="B25" s="136"/>
      <c r="C25" s="135"/>
      <c r="D25" s="124">
        <v>0</v>
      </c>
      <c r="E25" s="106">
        <v>21</v>
      </c>
      <c r="F25" s="107" t="str">
        <f>BEGINBLAD!C25</f>
        <v>leerling 21</v>
      </c>
      <c r="G25" s="108">
        <f>'NIVEAU WAARDE - vorig jaar'!G29</f>
        <v>1.9</v>
      </c>
      <c r="H25" s="109">
        <f>'NIVEAU WAARDE - 1e toetsperiode'!G29</f>
        <v>3.4</v>
      </c>
      <c r="I25" s="110" t="str">
        <f t="shared" si="0"/>
        <v>B-3</v>
      </c>
      <c r="J25" s="238" t="str">
        <f t="shared" si="1"/>
        <v>*</v>
      </c>
      <c r="K25" s="137">
        <f>'NIVEAU WAARDE - vorig jaar'!H29</f>
        <v>2.2000000000000002</v>
      </c>
      <c r="L25" s="134">
        <f>'NIVEAU WAARDE - 1e toetsperiode'!H29</f>
        <v>2</v>
      </c>
      <c r="M25" s="110" t="str">
        <f t="shared" si="2"/>
        <v>C-4</v>
      </c>
      <c r="N25" s="238" t="str">
        <f t="shared" si="3"/>
        <v/>
      </c>
      <c r="O25" s="120"/>
      <c r="P25" s="126" t="s">
        <v>14</v>
      </c>
      <c r="Q25" s="129"/>
      <c r="R25" s="133"/>
      <c r="S25" s="133"/>
      <c r="T25" s="133"/>
      <c r="U25" s="133"/>
      <c r="V25" s="133"/>
      <c r="W25" s="133"/>
    </row>
    <row r="26" spans="1:24" ht="19.5" customHeight="1" x14ac:dyDescent="0.25">
      <c r="D26" s="124">
        <v>0</v>
      </c>
      <c r="E26" s="106">
        <v>22</v>
      </c>
      <c r="F26" s="107" t="str">
        <f>BEGINBLAD!C26</f>
        <v>leerling 22</v>
      </c>
      <c r="G26" s="108">
        <f>'NIVEAU WAARDE - vorig jaar'!G30</f>
        <v>4.0999999999999996</v>
      </c>
      <c r="H26" s="109">
        <f>'NIVEAU WAARDE - 1e toetsperiode'!G30</f>
        <v>3.4</v>
      </c>
      <c r="I26" s="110" t="str">
        <f t="shared" si="0"/>
        <v>B-3</v>
      </c>
      <c r="J26" s="238" t="str">
        <f t="shared" si="1"/>
        <v>!</v>
      </c>
      <c r="K26" s="137">
        <f>'NIVEAU WAARDE - vorig jaar'!H30</f>
        <v>4.5999999999999996</v>
      </c>
      <c r="L26" s="134">
        <f>'NIVEAU WAARDE - 1e toetsperiode'!H30</f>
        <v>4.2</v>
      </c>
      <c r="M26" s="110" t="str">
        <f t="shared" si="2"/>
        <v>A-1</v>
      </c>
      <c r="N26" s="238" t="str">
        <f t="shared" si="3"/>
        <v/>
      </c>
      <c r="O26" s="957" t="s">
        <v>70</v>
      </c>
      <c r="P26" s="962" t="str">
        <f>'BASISAANPAK - 1e periode'!F17</f>
        <v xml:space="preserve"> - basistoetsen WIG voldoende scoren
 - Cito rekenen: niveauwaarden 0,5 pnt. vooruit</v>
      </c>
      <c r="Q26" s="103"/>
      <c r="R26" s="127"/>
      <c r="S26" s="127"/>
      <c r="T26" s="127"/>
      <c r="U26" s="127"/>
      <c r="V26" s="127"/>
      <c r="W26" s="127"/>
    </row>
    <row r="27" spans="1:24" s="139" customFormat="1" ht="19.5" customHeight="1" x14ac:dyDescent="0.55000000000000004">
      <c r="A27" s="103"/>
      <c r="B27" s="913" t="s">
        <v>2</v>
      </c>
      <c r="C27" s="104" t="s">
        <v>72</v>
      </c>
      <c r="D27" s="118">
        <v>0</v>
      </c>
      <c r="E27" s="106">
        <v>23</v>
      </c>
      <c r="F27" s="107" t="str">
        <f>BEGINBLAD!C27</f>
        <v>leerling 23</v>
      </c>
      <c r="G27" s="108">
        <f>'NIVEAU WAARDE - vorig jaar'!G31</f>
        <v>4.7</v>
      </c>
      <c r="H27" s="109">
        <f>'NIVEAU WAARDE - 1e toetsperiode'!G31</f>
        <v>4.8</v>
      </c>
      <c r="I27" s="110" t="str">
        <f t="shared" si="0"/>
        <v>A-1+</v>
      </c>
      <c r="J27" s="238" t="str">
        <f t="shared" si="1"/>
        <v/>
      </c>
      <c r="K27" s="137">
        <f>'NIVEAU WAARDE - vorig jaar'!H31</f>
        <v>4.9000000000000004</v>
      </c>
      <c r="L27" s="134">
        <f>'NIVEAU WAARDE - 1e toetsperiode'!H31</f>
        <v>5</v>
      </c>
      <c r="M27" s="110" t="str">
        <f t="shared" si="2"/>
        <v>A-1+</v>
      </c>
      <c r="N27" s="238" t="str">
        <f t="shared" si="3"/>
        <v/>
      </c>
      <c r="O27" s="958"/>
      <c r="P27" s="963"/>
      <c r="Q27" s="138"/>
      <c r="R27" s="138"/>
      <c r="S27" s="138"/>
      <c r="T27" s="138"/>
      <c r="U27" s="138"/>
      <c r="V27" s="138"/>
      <c r="W27" s="138"/>
    </row>
    <row r="28" spans="1:24" ht="19.5" customHeight="1" x14ac:dyDescent="0.6">
      <c r="A28" s="103"/>
      <c r="B28" s="913"/>
      <c r="C28" s="114" t="s">
        <v>69</v>
      </c>
      <c r="D28" s="118">
        <v>0</v>
      </c>
      <c r="E28" s="106">
        <v>24</v>
      </c>
      <c r="F28" s="107" t="str">
        <f>BEGINBLAD!C28</f>
        <v>leerling 24</v>
      </c>
      <c r="G28" s="108">
        <f>'NIVEAU WAARDE - vorig jaar'!G32</f>
        <v>2.5</v>
      </c>
      <c r="H28" s="109">
        <f>'NIVEAU WAARDE - 1e toetsperiode'!G32</f>
        <v>1.3</v>
      </c>
      <c r="I28" s="110" t="str">
        <f t="shared" si="0"/>
        <v>D-5</v>
      </c>
      <c r="J28" s="238" t="str">
        <f t="shared" si="1"/>
        <v>!</v>
      </c>
      <c r="K28" s="137">
        <f>'NIVEAU WAARDE - vorig jaar'!H32</f>
        <v>3.2</v>
      </c>
      <c r="L28" s="134">
        <f>'NIVEAU WAARDE - 1e toetsperiode'!H32</f>
        <v>3.5</v>
      </c>
      <c r="M28" s="110" t="str">
        <f t="shared" si="2"/>
        <v>B-2</v>
      </c>
      <c r="N28" s="238" t="str">
        <f t="shared" si="3"/>
        <v/>
      </c>
      <c r="O28" s="958" t="s">
        <v>71</v>
      </c>
      <c r="P28" s="968" t="str">
        <f>'BASISAANPAK - 1e periode'!F19</f>
        <v xml:space="preserve"> - werken met S+ werkboek
 - zelf nakijken (meer dan 3 fouten, fouten verbeteren)
- Op weektaak als extra verplicht werk Bingel
</v>
      </c>
      <c r="Q28" s="91"/>
      <c r="R28" s="140"/>
      <c r="S28" s="102"/>
      <c r="T28" s="102"/>
      <c r="U28" s="102"/>
      <c r="V28" s="102"/>
      <c r="W28" s="102"/>
    </row>
    <row r="29" spans="1:24" ht="19.5" customHeight="1" x14ac:dyDescent="0.25">
      <c r="A29" s="115"/>
      <c r="B29" s="369">
        <v>8</v>
      </c>
      <c r="C29" s="371" t="s">
        <v>465</v>
      </c>
      <c r="D29" s="105">
        <v>0</v>
      </c>
      <c r="E29" s="106">
        <v>25</v>
      </c>
      <c r="F29" s="107" t="str">
        <f>BEGINBLAD!C29</f>
        <v>leerling 25</v>
      </c>
      <c r="G29" s="108">
        <f>'NIVEAU WAARDE - vorig jaar'!G33</f>
        <v>4.5</v>
      </c>
      <c r="H29" s="109">
        <f>'NIVEAU WAARDE - 1e toetsperiode'!G33</f>
        <v>4.8</v>
      </c>
      <c r="I29" s="110" t="str">
        <f t="shared" si="0"/>
        <v>A-1+</v>
      </c>
      <c r="J29" s="238" t="str">
        <f t="shared" si="1"/>
        <v/>
      </c>
      <c r="K29" s="137">
        <f>'NIVEAU WAARDE - vorig jaar'!H33</f>
        <v>4.0999999999999996</v>
      </c>
      <c r="L29" s="134">
        <f>'NIVEAU WAARDE - 1e toetsperiode'!H33</f>
        <v>4.3</v>
      </c>
      <c r="M29" s="110" t="str">
        <f t="shared" si="2"/>
        <v>A-1</v>
      </c>
      <c r="N29" s="238" t="str">
        <f t="shared" si="3"/>
        <v/>
      </c>
      <c r="O29" s="958"/>
      <c r="P29" s="968"/>
      <c r="Q29" s="141"/>
      <c r="R29" s="130"/>
      <c r="S29" s="130"/>
      <c r="T29" s="130"/>
      <c r="U29" s="130"/>
      <c r="V29" s="130"/>
      <c r="W29" s="130"/>
    </row>
    <row r="30" spans="1:24" ht="19.5" customHeight="1" x14ac:dyDescent="0.25">
      <c r="A30" s="115"/>
      <c r="B30" s="369">
        <v>8</v>
      </c>
      <c r="C30" s="371" t="s">
        <v>466</v>
      </c>
      <c r="D30" s="105">
        <v>0</v>
      </c>
      <c r="E30" s="106">
        <v>26</v>
      </c>
      <c r="F30" s="107" t="str">
        <f>BEGINBLAD!C30</f>
        <v>leerling 26</v>
      </c>
      <c r="G30" s="108">
        <f>'NIVEAU WAARDE - vorig jaar'!G34</f>
        <v>4</v>
      </c>
      <c r="H30" s="109">
        <f>'NIVEAU WAARDE - 1e toetsperiode'!G34</f>
        <v>2.6</v>
      </c>
      <c r="I30" s="110" t="str">
        <f t="shared" si="0"/>
        <v>C-3</v>
      </c>
      <c r="J30" s="238" t="str">
        <f t="shared" si="1"/>
        <v>!</v>
      </c>
      <c r="K30" s="137">
        <f>'NIVEAU WAARDE - vorig jaar'!H34</f>
        <v>0</v>
      </c>
      <c r="L30" s="134">
        <f>'NIVEAU WAARDE - 1e toetsperiode'!H34</f>
        <v>0</v>
      </c>
      <c r="M30" s="110" t="str">
        <f t="shared" si="2"/>
        <v/>
      </c>
      <c r="N30" s="238" t="str">
        <f t="shared" si="3"/>
        <v/>
      </c>
      <c r="O30" s="958"/>
      <c r="P30" s="968"/>
      <c r="Q30" s="129"/>
      <c r="R30" s="133"/>
      <c r="S30" s="133"/>
      <c r="T30" s="133"/>
      <c r="U30" s="133"/>
      <c r="V30" s="133"/>
      <c r="W30" s="133"/>
    </row>
    <row r="31" spans="1:24" ht="19.5" customHeight="1" x14ac:dyDescent="0.25">
      <c r="A31" s="115"/>
      <c r="B31" s="369">
        <v>8</v>
      </c>
      <c r="C31" s="371" t="s">
        <v>465</v>
      </c>
      <c r="D31" s="105">
        <v>0</v>
      </c>
      <c r="E31" s="106">
        <v>27</v>
      </c>
      <c r="F31" s="107">
        <f>BEGINBLAD!C31</f>
        <v>0</v>
      </c>
      <c r="G31" s="108">
        <f>'NIVEAU WAARDE - vorig jaar'!G35</f>
        <v>0</v>
      </c>
      <c r="H31" s="109">
        <f>'NIVEAU WAARDE - 1e toetsperiode'!G35</f>
        <v>0</v>
      </c>
      <c r="I31" s="110" t="str">
        <f t="shared" si="0"/>
        <v/>
      </c>
      <c r="J31" s="238" t="str">
        <f t="shared" si="1"/>
        <v/>
      </c>
      <c r="K31" s="137">
        <f>'NIVEAU WAARDE - vorig jaar'!H35</f>
        <v>0</v>
      </c>
      <c r="L31" s="134">
        <f>'NIVEAU WAARDE - 1e toetsperiode'!H35</f>
        <v>0</v>
      </c>
      <c r="M31" s="110" t="str">
        <f t="shared" si="2"/>
        <v/>
      </c>
      <c r="N31" s="238" t="str">
        <f t="shared" si="3"/>
        <v/>
      </c>
      <c r="O31" s="958"/>
      <c r="P31" s="968"/>
      <c r="Q31" s="129"/>
      <c r="R31" s="133"/>
      <c r="S31" s="133"/>
      <c r="T31" s="133"/>
      <c r="U31" s="133"/>
      <c r="V31" s="133"/>
      <c r="W31" s="133"/>
    </row>
    <row r="32" spans="1:24" ht="19.5" customHeight="1" x14ac:dyDescent="0.25">
      <c r="A32" s="115"/>
      <c r="B32" s="369">
        <v>8</v>
      </c>
      <c r="C32" s="371" t="s">
        <v>470</v>
      </c>
      <c r="D32" s="105">
        <v>0</v>
      </c>
      <c r="E32" s="106">
        <v>28</v>
      </c>
      <c r="F32" s="107">
        <f>BEGINBLAD!C32</f>
        <v>0</v>
      </c>
      <c r="G32" s="108">
        <f>'NIVEAU WAARDE - vorig jaar'!G36</f>
        <v>0</v>
      </c>
      <c r="H32" s="109">
        <f>'NIVEAU WAARDE - 1e toetsperiode'!G36</f>
        <v>0</v>
      </c>
      <c r="I32" s="110" t="str">
        <f t="shared" si="0"/>
        <v/>
      </c>
      <c r="J32" s="238" t="str">
        <f t="shared" si="1"/>
        <v/>
      </c>
      <c r="K32" s="137">
        <f>'NIVEAU WAARDE - vorig jaar'!H36</f>
        <v>0</v>
      </c>
      <c r="L32" s="134">
        <f>'NIVEAU WAARDE - 1e toetsperiode'!H36</f>
        <v>0</v>
      </c>
      <c r="M32" s="110" t="str">
        <f t="shared" si="2"/>
        <v/>
      </c>
      <c r="N32" s="238" t="str">
        <f t="shared" si="3"/>
        <v/>
      </c>
      <c r="O32" s="958"/>
      <c r="P32" s="968"/>
      <c r="Q32" s="129"/>
      <c r="R32" s="133"/>
      <c r="S32" s="133"/>
      <c r="T32" s="133"/>
      <c r="U32" s="133"/>
      <c r="V32" s="133"/>
      <c r="W32" s="133"/>
    </row>
    <row r="33" spans="1:27" ht="19.5" customHeight="1" x14ac:dyDescent="0.25">
      <c r="A33" s="115"/>
      <c r="B33" s="369">
        <v>8</v>
      </c>
      <c r="C33" s="371" t="s">
        <v>245</v>
      </c>
      <c r="D33" s="105">
        <v>0</v>
      </c>
      <c r="E33" s="106">
        <v>29</v>
      </c>
      <c r="F33" s="107">
        <f>BEGINBLAD!C33</f>
        <v>0</v>
      </c>
      <c r="G33" s="108">
        <f>'NIVEAU WAARDE - vorig jaar'!G37</f>
        <v>0</v>
      </c>
      <c r="H33" s="109">
        <f>'NIVEAU WAARDE - 1e toetsperiode'!G37</f>
        <v>0</v>
      </c>
      <c r="I33" s="110" t="str">
        <f t="shared" si="0"/>
        <v/>
      </c>
      <c r="J33" s="238" t="str">
        <f t="shared" si="1"/>
        <v/>
      </c>
      <c r="K33" s="137">
        <f>'NIVEAU WAARDE - vorig jaar'!H37</f>
        <v>0</v>
      </c>
      <c r="L33" s="134">
        <f>'NIVEAU WAARDE - 1e toetsperiode'!H37</f>
        <v>0</v>
      </c>
      <c r="M33" s="110" t="str">
        <f t="shared" si="2"/>
        <v/>
      </c>
      <c r="N33" s="238" t="str">
        <f t="shared" si="3"/>
        <v/>
      </c>
      <c r="O33" s="958"/>
      <c r="P33" s="968"/>
      <c r="Q33" s="129"/>
      <c r="R33" s="133"/>
      <c r="S33" s="133"/>
      <c r="T33" s="133"/>
      <c r="U33" s="133"/>
      <c r="V33" s="133"/>
      <c r="W33" s="133"/>
    </row>
    <row r="34" spans="1:27" ht="19.5" customHeight="1" x14ac:dyDescent="0.25">
      <c r="A34" s="115"/>
      <c r="B34" s="369">
        <v>8</v>
      </c>
      <c r="C34" s="371" t="s">
        <v>468</v>
      </c>
      <c r="D34" s="105">
        <v>0</v>
      </c>
      <c r="E34" s="106">
        <v>30</v>
      </c>
      <c r="F34" s="107">
        <f>BEGINBLAD!C34</f>
        <v>0</v>
      </c>
      <c r="G34" s="108">
        <f>'NIVEAU WAARDE - vorig jaar'!G38</f>
        <v>0</v>
      </c>
      <c r="H34" s="109">
        <f>'NIVEAU WAARDE - 1e toetsperiode'!G38</f>
        <v>0</v>
      </c>
      <c r="I34" s="110" t="str">
        <f t="shared" si="0"/>
        <v/>
      </c>
      <c r="J34" s="238" t="str">
        <f t="shared" si="1"/>
        <v/>
      </c>
      <c r="K34" s="137">
        <f>'NIVEAU WAARDE - vorig jaar'!H38</f>
        <v>0</v>
      </c>
      <c r="L34" s="134">
        <f>'NIVEAU WAARDE - 1e toetsperiode'!H38</f>
        <v>0</v>
      </c>
      <c r="M34" s="110" t="str">
        <f t="shared" si="2"/>
        <v/>
      </c>
      <c r="N34" s="238" t="str">
        <f t="shared" si="3"/>
        <v/>
      </c>
      <c r="O34" s="958"/>
      <c r="P34" s="968"/>
      <c r="Q34" s="129"/>
      <c r="R34" s="133"/>
      <c r="S34" s="133"/>
      <c r="T34" s="133"/>
      <c r="U34" s="133"/>
      <c r="V34" s="133"/>
      <c r="W34" s="133"/>
    </row>
    <row r="35" spans="1:27" ht="19.5" customHeight="1" thickBot="1" x14ac:dyDescent="0.3">
      <c r="A35" s="115"/>
      <c r="B35" s="369">
        <v>8</v>
      </c>
      <c r="C35" s="371" t="s">
        <v>465</v>
      </c>
      <c r="D35" s="105">
        <v>0</v>
      </c>
      <c r="E35" s="106">
        <v>31</v>
      </c>
      <c r="F35" s="107">
        <f>BEGINBLAD!C35</f>
        <v>0</v>
      </c>
      <c r="G35" s="108">
        <f>'NIVEAU WAARDE - vorig jaar'!G39</f>
        <v>0</v>
      </c>
      <c r="H35" s="109">
        <f>'NIVEAU WAARDE - 1e toetsperiode'!G39</f>
        <v>0</v>
      </c>
      <c r="I35" s="110" t="str">
        <f t="shared" si="0"/>
        <v/>
      </c>
      <c r="J35" s="238" t="str">
        <f t="shared" si="1"/>
        <v/>
      </c>
      <c r="K35" s="137">
        <f>'NIVEAU WAARDE - vorig jaar'!H39</f>
        <v>0</v>
      </c>
      <c r="L35" s="134">
        <f>'NIVEAU WAARDE - 1e toetsperiode'!H39</f>
        <v>0</v>
      </c>
      <c r="M35" s="110" t="str">
        <f t="shared" si="2"/>
        <v/>
      </c>
      <c r="N35" s="238" t="str">
        <f t="shared" si="3"/>
        <v/>
      </c>
      <c r="O35" s="959"/>
      <c r="P35" s="969"/>
      <c r="Q35" s="129"/>
      <c r="R35" s="133"/>
      <c r="S35" s="133"/>
      <c r="T35" s="133"/>
      <c r="U35" s="133"/>
      <c r="V35" s="133"/>
      <c r="W35" s="133"/>
    </row>
    <row r="36" spans="1:27" ht="19.5" customHeight="1" thickBot="1" x14ac:dyDescent="0.3">
      <c r="A36" s="115"/>
      <c r="B36" s="369">
        <v>8</v>
      </c>
      <c r="C36" s="371" t="s">
        <v>460</v>
      </c>
      <c r="D36" s="105">
        <v>0</v>
      </c>
      <c r="E36" s="106">
        <v>32</v>
      </c>
      <c r="F36" s="107">
        <f>BEGINBLAD!C36</f>
        <v>0</v>
      </c>
      <c r="G36" s="108">
        <f>'NIVEAU WAARDE - vorig jaar'!G40</f>
        <v>0</v>
      </c>
      <c r="H36" s="109">
        <f>'NIVEAU WAARDE - 1e toetsperiode'!G40</f>
        <v>0</v>
      </c>
      <c r="I36" s="110" t="str">
        <f t="shared" si="0"/>
        <v/>
      </c>
      <c r="J36" s="238" t="str">
        <f t="shared" si="1"/>
        <v/>
      </c>
      <c r="K36" s="137">
        <f>'NIVEAU WAARDE - vorig jaar'!H40</f>
        <v>0</v>
      </c>
      <c r="L36" s="134">
        <f>'NIVEAU WAARDE - 1e toetsperiode'!H40</f>
        <v>0</v>
      </c>
      <c r="M36" s="110" t="str">
        <f t="shared" si="2"/>
        <v/>
      </c>
      <c r="N36" s="238" t="str">
        <f t="shared" si="3"/>
        <v/>
      </c>
      <c r="O36" s="120"/>
      <c r="P36" s="126" t="s">
        <v>12</v>
      </c>
      <c r="Q36" s="129"/>
      <c r="R36" s="133"/>
      <c r="S36" s="133"/>
      <c r="T36" s="133"/>
      <c r="U36" s="133"/>
      <c r="V36" s="133"/>
      <c r="W36" s="133"/>
    </row>
    <row r="37" spans="1:27" ht="19.5" customHeight="1" x14ac:dyDescent="0.25">
      <c r="A37" s="115"/>
      <c r="B37" s="116"/>
      <c r="C37" s="117"/>
      <c r="D37" s="105">
        <v>0</v>
      </c>
      <c r="E37" s="106">
        <v>33</v>
      </c>
      <c r="F37" s="107">
        <f>BEGINBLAD!C37</f>
        <v>0</v>
      </c>
      <c r="G37" s="108">
        <f>'NIVEAU WAARDE - vorig jaar'!G41</f>
        <v>0</v>
      </c>
      <c r="H37" s="109">
        <f>'NIVEAU WAARDE - 1e toetsperiode'!G41</f>
        <v>0</v>
      </c>
      <c r="I37" s="110" t="str">
        <f t="shared" si="0"/>
        <v/>
      </c>
      <c r="J37" s="238" t="str">
        <f t="shared" si="1"/>
        <v/>
      </c>
      <c r="K37" s="137">
        <f>'NIVEAU WAARDE - vorig jaar'!H41</f>
        <v>0</v>
      </c>
      <c r="L37" s="134">
        <f>'NIVEAU WAARDE - 1e toetsperiode'!H41</f>
        <v>0</v>
      </c>
      <c r="M37" s="110" t="str">
        <f t="shared" si="2"/>
        <v/>
      </c>
      <c r="N37" s="238" t="str">
        <f t="shared" si="3"/>
        <v/>
      </c>
      <c r="O37" s="957" t="s">
        <v>70</v>
      </c>
      <c r="P37" s="962">
        <f>'VERRIJKT - 1e periode'!F17</f>
        <v>0</v>
      </c>
      <c r="Q37" s="129"/>
      <c r="R37" s="133"/>
      <c r="S37" s="133"/>
      <c r="T37" s="133"/>
      <c r="U37" s="133"/>
      <c r="V37" s="133"/>
      <c r="W37" s="133"/>
    </row>
    <row r="38" spans="1:27" ht="19.5" customHeight="1" x14ac:dyDescent="0.25">
      <c r="A38" s="115"/>
      <c r="B38" s="116"/>
      <c r="C38" s="117"/>
      <c r="D38" s="105">
        <v>0</v>
      </c>
      <c r="E38" s="106">
        <v>34</v>
      </c>
      <c r="F38" s="107">
        <f>BEGINBLAD!C38</f>
        <v>0</v>
      </c>
      <c r="G38" s="108">
        <f>'NIVEAU WAARDE - vorig jaar'!G42</f>
        <v>0</v>
      </c>
      <c r="H38" s="109">
        <f>'NIVEAU WAARDE - 1e toetsperiode'!G42</f>
        <v>0</v>
      </c>
      <c r="I38" s="110" t="str">
        <f t="shared" si="0"/>
        <v/>
      </c>
      <c r="J38" s="238" t="str">
        <f t="shared" si="1"/>
        <v/>
      </c>
      <c r="K38" s="137">
        <f>'NIVEAU WAARDE - vorig jaar'!H42</f>
        <v>0</v>
      </c>
      <c r="L38" s="134">
        <f>'NIVEAU WAARDE - 1e toetsperiode'!H42</f>
        <v>0</v>
      </c>
      <c r="M38" s="110" t="str">
        <f t="shared" si="2"/>
        <v/>
      </c>
      <c r="N38" s="238" t="str">
        <f t="shared" si="3"/>
        <v/>
      </c>
      <c r="O38" s="958"/>
      <c r="P38" s="963"/>
      <c r="Q38" s="129"/>
      <c r="R38" s="133"/>
      <c r="S38" s="133"/>
      <c r="T38" s="133"/>
      <c r="U38" s="133"/>
      <c r="V38" s="133"/>
      <c r="W38" s="133"/>
    </row>
    <row r="39" spans="1:27" ht="19.5" customHeight="1" x14ac:dyDescent="0.25">
      <c r="A39" s="115"/>
      <c r="B39" s="116"/>
      <c r="C39" s="117"/>
      <c r="D39" s="105">
        <v>0</v>
      </c>
      <c r="E39" s="106">
        <v>35</v>
      </c>
      <c r="F39" s="107">
        <f>BEGINBLAD!C39</f>
        <v>0</v>
      </c>
      <c r="G39" s="108">
        <f>'NIVEAU WAARDE - vorig jaar'!G43</f>
        <v>0</v>
      </c>
      <c r="H39" s="109">
        <f>'NIVEAU WAARDE - 1e toetsperiode'!G43</f>
        <v>0</v>
      </c>
      <c r="I39" s="110" t="str">
        <f t="shared" si="0"/>
        <v/>
      </c>
      <c r="J39" s="238" t="str">
        <f t="shared" si="1"/>
        <v/>
      </c>
      <c r="K39" s="137">
        <f>'NIVEAU WAARDE - vorig jaar'!H43</f>
        <v>0</v>
      </c>
      <c r="L39" s="134">
        <f>'NIVEAU WAARDE - 1e toetsperiode'!H43</f>
        <v>0</v>
      </c>
      <c r="M39" s="110" t="str">
        <f t="shared" si="2"/>
        <v/>
      </c>
      <c r="N39" s="238" t="str">
        <f t="shared" si="3"/>
        <v/>
      </c>
      <c r="O39" s="958" t="s">
        <v>71</v>
      </c>
      <c r="P39" s="955" t="str">
        <f>'VERRIJKT - 1e periode'!F19</f>
        <v>De pluskinderen: maken zowel bij lessen als bij taken alleen de opgaven met &gt;&gt; en daarna de plustaken</v>
      </c>
      <c r="Q39" s="129"/>
      <c r="R39" s="133"/>
      <c r="S39" s="133"/>
      <c r="T39" s="133"/>
      <c r="U39" s="133"/>
      <c r="V39" s="133"/>
      <c r="W39" s="133"/>
    </row>
    <row r="40" spans="1:27" s="103" customFormat="1" ht="19.5" customHeight="1" thickBot="1" x14ac:dyDescent="0.3">
      <c r="A40" s="115"/>
      <c r="B40" s="116"/>
      <c r="C40" s="117"/>
      <c r="D40" s="105">
        <v>0</v>
      </c>
      <c r="E40" s="142">
        <v>36</v>
      </c>
      <c r="F40" s="143">
        <f>BEGINBLAD!C40</f>
        <v>0</v>
      </c>
      <c r="G40" s="144">
        <f>'NIVEAU WAARDE - vorig jaar'!G44</f>
        <v>0</v>
      </c>
      <c r="H40" s="145">
        <f>'NIVEAU WAARDE - 1e toetsperiode'!G44</f>
        <v>0</v>
      </c>
      <c r="I40" s="146" t="str">
        <f t="shared" si="0"/>
        <v/>
      </c>
      <c r="J40" s="238" t="str">
        <f t="shared" si="1"/>
        <v/>
      </c>
      <c r="K40" s="247">
        <f>'NIVEAU WAARDE - vorig jaar'!H44</f>
        <v>0</v>
      </c>
      <c r="L40" s="147">
        <f>'NIVEAU WAARDE - 1e toetsperiode'!H44</f>
        <v>0</v>
      </c>
      <c r="M40" s="146" t="str">
        <f t="shared" si="2"/>
        <v/>
      </c>
      <c r="N40" s="238" t="str">
        <f t="shared" si="3"/>
        <v/>
      </c>
      <c r="O40" s="958"/>
      <c r="P40" s="955"/>
      <c r="Q40" s="129"/>
      <c r="R40" s="133"/>
      <c r="S40" s="133"/>
      <c r="T40" s="133"/>
      <c r="U40" s="133"/>
      <c r="V40" s="133"/>
      <c r="W40" s="133"/>
      <c r="X40" s="127"/>
      <c r="Y40" s="127"/>
      <c r="Z40" s="127"/>
      <c r="AA40" s="127"/>
    </row>
    <row r="41" spans="1:27" ht="19.5" customHeight="1" thickBot="1" x14ac:dyDescent="0.35">
      <c r="A41" s="148"/>
      <c r="B41" s="149"/>
      <c r="C41" s="970" t="s">
        <v>13</v>
      </c>
      <c r="D41" s="970"/>
      <c r="E41" s="970"/>
      <c r="F41" s="970"/>
      <c r="G41" s="971" t="s">
        <v>12</v>
      </c>
      <c r="H41" s="971"/>
      <c r="I41" s="971"/>
      <c r="J41" s="971"/>
      <c r="K41" s="971"/>
      <c r="L41" s="971"/>
      <c r="M41" s="971"/>
      <c r="O41" s="958"/>
      <c r="P41" s="955"/>
      <c r="Q41" s="129"/>
      <c r="R41" s="150"/>
      <c r="S41" s="150"/>
      <c r="T41" s="150"/>
      <c r="U41" s="150"/>
      <c r="V41" s="150"/>
      <c r="W41" s="150"/>
    </row>
    <row r="42" spans="1:27" ht="19.5" customHeight="1" x14ac:dyDescent="0.25">
      <c r="A42" s="129"/>
      <c r="B42" s="169"/>
      <c r="C42" s="176" t="s">
        <v>73</v>
      </c>
      <c r="D42" s="972"/>
      <c r="E42" s="973"/>
      <c r="F42" s="974"/>
      <c r="G42" s="975" t="s">
        <v>73</v>
      </c>
      <c r="H42" s="976"/>
      <c r="I42" s="987"/>
      <c r="J42" s="987"/>
      <c r="K42" s="987"/>
      <c r="L42" s="987"/>
      <c r="M42" s="988"/>
      <c r="O42" s="958"/>
      <c r="P42" s="955"/>
      <c r="Q42" s="129"/>
      <c r="R42" s="150"/>
      <c r="S42" s="150"/>
      <c r="T42" s="150"/>
      <c r="U42" s="150"/>
      <c r="V42" s="150"/>
      <c r="W42" s="150"/>
    </row>
    <row r="43" spans="1:27" ht="19.5" customHeight="1" x14ac:dyDescent="0.25">
      <c r="A43" s="129"/>
      <c r="B43" s="170"/>
      <c r="C43" s="177" t="s">
        <v>74</v>
      </c>
      <c r="D43" s="977"/>
      <c r="E43" s="978"/>
      <c r="F43" s="979"/>
      <c r="G43" s="980" t="s">
        <v>74</v>
      </c>
      <c r="H43" s="981"/>
      <c r="I43" s="983"/>
      <c r="J43" s="983"/>
      <c r="K43" s="983"/>
      <c r="L43" s="983"/>
      <c r="M43" s="984"/>
      <c r="O43" s="958"/>
      <c r="P43" s="955"/>
      <c r="Q43" s="129"/>
      <c r="R43" s="150"/>
      <c r="S43" s="150"/>
      <c r="T43" s="150"/>
      <c r="U43" s="150"/>
      <c r="V43" s="150"/>
      <c r="W43" s="150"/>
    </row>
    <row r="44" spans="1:27" ht="19.5" customHeight="1" x14ac:dyDescent="0.25">
      <c r="A44" s="129"/>
      <c r="B44" s="170"/>
      <c r="C44" s="177" t="s">
        <v>75</v>
      </c>
      <c r="D44" s="977"/>
      <c r="E44" s="978"/>
      <c r="F44" s="979"/>
      <c r="G44" s="980" t="s">
        <v>75</v>
      </c>
      <c r="H44" s="981"/>
      <c r="I44" s="983"/>
      <c r="J44" s="983"/>
      <c r="K44" s="983"/>
      <c r="L44" s="983"/>
      <c r="M44" s="984"/>
      <c r="O44" s="958"/>
      <c r="P44" s="955"/>
      <c r="Q44" s="129"/>
      <c r="R44" s="150"/>
      <c r="S44" s="150"/>
      <c r="T44" s="150"/>
      <c r="U44" s="150"/>
      <c r="V44" s="150"/>
      <c r="W44" s="150"/>
    </row>
    <row r="45" spans="1:27" ht="19.5" customHeight="1" x14ac:dyDescent="0.25">
      <c r="A45" s="129"/>
      <c r="B45" s="170"/>
      <c r="C45" s="177" t="s">
        <v>76</v>
      </c>
      <c r="D45" s="977"/>
      <c r="E45" s="978"/>
      <c r="F45" s="979"/>
      <c r="G45" s="980" t="s">
        <v>76</v>
      </c>
      <c r="H45" s="981"/>
      <c r="I45" s="983"/>
      <c r="J45" s="983"/>
      <c r="K45" s="983"/>
      <c r="L45" s="983"/>
      <c r="M45" s="984"/>
      <c r="O45" s="958"/>
      <c r="P45" s="955"/>
      <c r="Q45" s="129"/>
      <c r="R45" s="150"/>
      <c r="S45" s="150"/>
      <c r="T45" s="150"/>
      <c r="U45" s="150"/>
      <c r="V45" s="150"/>
      <c r="W45" s="150"/>
    </row>
    <row r="46" spans="1:27" ht="19.5" customHeight="1" thickBot="1" x14ac:dyDescent="0.3">
      <c r="A46" s="129"/>
      <c r="B46" s="170"/>
      <c r="C46" s="178" t="s">
        <v>77</v>
      </c>
      <c r="D46" s="989"/>
      <c r="E46" s="990"/>
      <c r="F46" s="991"/>
      <c r="G46" s="992" t="s">
        <v>77</v>
      </c>
      <c r="H46" s="993"/>
      <c r="I46" s="995"/>
      <c r="J46" s="995"/>
      <c r="K46" s="995"/>
      <c r="L46" s="995"/>
      <c r="M46" s="996"/>
      <c r="O46" s="959"/>
      <c r="P46" s="956"/>
      <c r="Q46" s="129"/>
      <c r="R46" s="133"/>
      <c r="S46" s="133"/>
      <c r="T46" s="133"/>
      <c r="U46" s="133"/>
      <c r="V46" s="133"/>
      <c r="W46" s="133"/>
    </row>
    <row r="47" spans="1:27" x14ac:dyDescent="0.25">
      <c r="B47" s="151"/>
      <c r="C47" s="156"/>
      <c r="D47" s="466"/>
      <c r="E47" s="467"/>
      <c r="F47" s="467"/>
      <c r="G47" s="467"/>
      <c r="H47" s="200"/>
      <c r="I47" s="153"/>
      <c r="J47" s="153"/>
      <c r="K47" s="1001" t="s">
        <v>7</v>
      </c>
      <c r="L47" s="1001"/>
      <c r="M47" s="1001"/>
      <c r="N47" s="152"/>
      <c r="O47" s="161"/>
      <c r="P47" s="161"/>
      <c r="Q47" s="129"/>
      <c r="R47" s="133"/>
      <c r="S47" s="133"/>
      <c r="T47" s="133"/>
      <c r="U47" s="133"/>
      <c r="V47" s="133"/>
      <c r="W47" s="133"/>
    </row>
    <row r="48" spans="1:27" x14ac:dyDescent="0.25">
      <c r="B48" s="171"/>
      <c r="C48" s="164"/>
      <c r="D48" s="212">
        <f>BEGINBLAD!$D$41</f>
        <v>26</v>
      </c>
      <c r="E48" s="202"/>
      <c r="F48" s="203" t="s">
        <v>78</v>
      </c>
      <c r="G48" s="211">
        <f>H48/$D$49</f>
        <v>0.26923076923076922</v>
      </c>
      <c r="H48" s="124">
        <f>COUNTIF($I$5:$I$40,"A-1+")</f>
        <v>7</v>
      </c>
      <c r="I48" s="124"/>
      <c r="J48" s="201" t="s">
        <v>79</v>
      </c>
      <c r="K48" s="201"/>
      <c r="L48" s="201"/>
      <c r="M48" s="227">
        <f>G48+G49+G50+G51+G52</f>
        <v>0.80769230769230771</v>
      </c>
      <c r="N48" s="227">
        <v>1</v>
      </c>
      <c r="O48" s="228"/>
      <c r="P48" s="152"/>
      <c r="Q48" s="129"/>
      <c r="R48" s="133"/>
      <c r="S48" s="133"/>
      <c r="T48" s="133"/>
      <c r="U48" s="133"/>
      <c r="V48" s="133"/>
      <c r="W48" s="133"/>
    </row>
    <row r="49" spans="2:23" x14ac:dyDescent="0.25">
      <c r="B49" s="171"/>
      <c r="C49" s="164"/>
      <c r="D49" s="208">
        <f>COUNTIF(H5:H40,"&gt;0")</f>
        <v>26</v>
      </c>
      <c r="E49" s="202"/>
      <c r="F49" s="203" t="s">
        <v>80</v>
      </c>
      <c r="G49" s="211">
        <f>H49/$D$49</f>
        <v>3.8461538461538464E-2</v>
      </c>
      <c r="H49" s="124">
        <f>COUNTIF($I$5:$I$40,"A-1")</f>
        <v>1</v>
      </c>
      <c r="I49" s="124"/>
      <c r="J49" s="201"/>
      <c r="K49" s="201"/>
      <c r="L49" s="201"/>
      <c r="M49" s="227"/>
      <c r="N49" s="227">
        <v>0.7</v>
      </c>
      <c r="O49" s="229"/>
      <c r="P49" s="163"/>
      <c r="Q49" s="129"/>
      <c r="R49" s="133"/>
      <c r="S49" s="133"/>
      <c r="T49" s="133"/>
      <c r="U49" s="133"/>
      <c r="V49" s="133"/>
      <c r="W49" s="133"/>
    </row>
    <row r="50" spans="2:23" x14ac:dyDescent="0.25">
      <c r="B50" s="171"/>
      <c r="C50" s="164"/>
      <c r="D50" s="204"/>
      <c r="E50" s="202"/>
      <c r="F50" s="205" t="s">
        <v>81</v>
      </c>
      <c r="G50" s="211">
        <f>(H50+I50)/$D$49</f>
        <v>3.8461538461538464E-2</v>
      </c>
      <c r="H50" s="124">
        <f>COUNTIF($I$5:$I$40,"A-2")</f>
        <v>0</v>
      </c>
      <c r="I50" s="124">
        <f>COUNTIF($I$5:$I$40,"B-2")</f>
        <v>1</v>
      </c>
      <c r="J50" s="201"/>
      <c r="K50" s="201"/>
      <c r="L50" s="201"/>
      <c r="M50" s="227"/>
      <c r="N50" s="227">
        <v>0.6</v>
      </c>
      <c r="O50" s="229"/>
      <c r="P50" s="163"/>
      <c r="Q50" s="129"/>
      <c r="R50" s="133"/>
      <c r="S50" s="133"/>
      <c r="T50" s="133"/>
      <c r="U50" s="133"/>
      <c r="V50" s="133"/>
      <c r="W50" s="133"/>
    </row>
    <row r="51" spans="2:23" x14ac:dyDescent="0.25">
      <c r="B51" s="171"/>
      <c r="C51" s="164"/>
      <c r="D51" s="204"/>
      <c r="E51" s="202"/>
      <c r="F51" s="203" t="s">
        <v>82</v>
      </c>
      <c r="G51" s="211">
        <f>H51/$D$49</f>
        <v>0.34615384615384615</v>
      </c>
      <c r="H51" s="124">
        <f>COUNTIF($I$5:$I$40,"B-3")</f>
        <v>9</v>
      </c>
      <c r="I51" s="124"/>
      <c r="J51" s="201"/>
      <c r="K51" s="201"/>
      <c r="L51" s="201"/>
      <c r="M51" s="227"/>
      <c r="N51" s="227">
        <f>$M$48</f>
        <v>0.80769230769230771</v>
      </c>
      <c r="O51" s="229"/>
      <c r="P51" s="163"/>
      <c r="Q51" s="129"/>
      <c r="R51" s="133"/>
      <c r="S51" s="133"/>
      <c r="T51" s="133"/>
      <c r="U51" s="133"/>
      <c r="V51" s="133"/>
      <c r="W51" s="133"/>
    </row>
    <row r="52" spans="2:23" x14ac:dyDescent="0.25">
      <c r="B52" s="171"/>
      <c r="C52" s="164"/>
      <c r="D52" s="204"/>
      <c r="E52" s="202"/>
      <c r="F52" s="203" t="s">
        <v>83</v>
      </c>
      <c r="G52" s="211">
        <f>H52/$D$49</f>
        <v>0.11538461538461539</v>
      </c>
      <c r="H52" s="124">
        <f>COUNTIF($I$5:$I$40,"c-3")</f>
        <v>3</v>
      </c>
      <c r="I52" s="124"/>
      <c r="J52" s="201" t="s">
        <v>84</v>
      </c>
      <c r="K52" s="201"/>
      <c r="L52" s="201"/>
      <c r="M52" s="227">
        <f>G53+G54+G55+G57</f>
        <v>0.19230769230769232</v>
      </c>
      <c r="N52" s="230"/>
      <c r="O52" s="229"/>
      <c r="P52" s="163"/>
      <c r="Q52" s="129"/>
      <c r="R52" s="133"/>
      <c r="S52" s="133"/>
      <c r="T52" s="133"/>
      <c r="U52" s="133"/>
      <c r="V52" s="133"/>
      <c r="W52" s="133"/>
    </row>
    <row r="53" spans="2:23" x14ac:dyDescent="0.25">
      <c r="B53" s="171"/>
      <c r="C53" s="164"/>
      <c r="D53" s="204"/>
      <c r="E53" s="202"/>
      <c r="F53" s="205" t="s">
        <v>85</v>
      </c>
      <c r="G53" s="211">
        <f>H53/$D$49</f>
        <v>7.6923076923076927E-2</v>
      </c>
      <c r="H53" s="124">
        <f>COUNTIF($I$5:$I$40,"c-4")</f>
        <v>2</v>
      </c>
      <c r="I53" s="212"/>
      <c r="J53" s="201"/>
      <c r="K53" s="201"/>
      <c r="L53" s="201"/>
      <c r="M53" s="227"/>
      <c r="N53" s="230"/>
      <c r="O53" s="229"/>
      <c r="P53" s="163"/>
      <c r="Q53" s="129"/>
      <c r="R53" s="133"/>
      <c r="S53" s="133"/>
      <c r="T53" s="133"/>
      <c r="U53" s="133"/>
      <c r="V53" s="133"/>
      <c r="W53" s="133"/>
    </row>
    <row r="54" spans="2:23" x14ac:dyDescent="0.25">
      <c r="B54" s="171"/>
      <c r="C54" s="164"/>
      <c r="D54" s="204"/>
      <c r="E54" s="202"/>
      <c r="F54" s="202" t="s">
        <v>86</v>
      </c>
      <c r="G54" s="211">
        <f>H54/$D$49</f>
        <v>3.8461538461538464E-2</v>
      </c>
      <c r="H54" s="124">
        <f>COUNTIF($I$5:$I$40,"d-4")</f>
        <v>1</v>
      </c>
      <c r="I54" s="212"/>
      <c r="J54" s="201"/>
      <c r="K54" s="201"/>
      <c r="L54" s="201"/>
      <c r="M54" s="227"/>
      <c r="N54" s="230"/>
      <c r="O54" s="229"/>
      <c r="P54" s="163"/>
      <c r="Q54" s="129"/>
      <c r="R54" s="133"/>
      <c r="S54" s="133"/>
      <c r="T54" s="133"/>
      <c r="U54" s="133"/>
      <c r="V54" s="133"/>
      <c r="W54" s="133"/>
    </row>
    <row r="55" spans="2:23" x14ac:dyDescent="0.25">
      <c r="B55" s="171"/>
      <c r="C55" s="164"/>
      <c r="D55" s="204"/>
      <c r="E55" s="202"/>
      <c r="F55" s="203" t="s">
        <v>87</v>
      </c>
      <c r="G55" s="211">
        <f>(H55+I55)/$D$49</f>
        <v>7.6923076923076927E-2</v>
      </c>
      <c r="H55" s="124">
        <f>COUNTIF($I$5:$I$40,"d-5")</f>
        <v>2</v>
      </c>
      <c r="I55" s="124">
        <f>COUNTIF($I$5:$I$40,"e-5")</f>
        <v>0</v>
      </c>
      <c r="J55" s="201"/>
      <c r="K55" s="201"/>
      <c r="L55" s="201"/>
      <c r="M55" s="227"/>
      <c r="N55" s="230"/>
      <c r="O55" s="229"/>
      <c r="P55" s="163"/>
      <c r="Q55" s="129"/>
      <c r="R55" s="133"/>
      <c r="S55" s="133"/>
      <c r="T55" s="133"/>
      <c r="U55" s="133"/>
      <c r="V55" s="133"/>
      <c r="W55" s="133"/>
    </row>
    <row r="56" spans="2:23" x14ac:dyDescent="0.25">
      <c r="B56" s="171"/>
      <c r="C56" s="164"/>
      <c r="D56" s="204"/>
      <c r="E56" s="202"/>
      <c r="F56" s="203"/>
      <c r="G56" s="211"/>
      <c r="H56" s="124"/>
      <c r="I56" s="124"/>
      <c r="J56" s="201" t="s">
        <v>0</v>
      </c>
      <c r="K56" s="201"/>
      <c r="L56" s="201"/>
      <c r="M56" s="227">
        <f>M48+M52</f>
        <v>1</v>
      </c>
      <c r="N56" s="845"/>
      <c r="O56" s="229"/>
      <c r="P56" s="163"/>
      <c r="Q56" s="129"/>
      <c r="R56" s="133"/>
      <c r="S56" s="133"/>
      <c r="T56" s="133"/>
      <c r="U56" s="133"/>
      <c r="V56" s="133"/>
      <c r="W56" s="133"/>
    </row>
    <row r="57" spans="2:23" x14ac:dyDescent="0.25">
      <c r="B57" s="171"/>
      <c r="C57" s="164"/>
      <c r="D57" s="204"/>
      <c r="E57" s="202"/>
      <c r="F57" s="206" t="s">
        <v>88</v>
      </c>
      <c r="G57" s="211">
        <f>H57/$D$49</f>
        <v>0</v>
      </c>
      <c r="H57" s="124">
        <f>COUNTIF($I$5:$I$40,"e-5-")</f>
        <v>0</v>
      </c>
      <c r="I57" s="124"/>
      <c r="J57" s="201"/>
      <c r="K57" s="201"/>
      <c r="L57" s="201"/>
      <c r="M57" s="227"/>
      <c r="N57" s="845"/>
      <c r="O57" s="229"/>
      <c r="P57" s="163"/>
      <c r="Q57" s="129"/>
      <c r="R57" s="133"/>
      <c r="S57" s="133"/>
      <c r="T57" s="133"/>
      <c r="U57" s="133"/>
      <c r="V57" s="133"/>
      <c r="W57" s="133"/>
    </row>
    <row r="58" spans="2:23" x14ac:dyDescent="0.25">
      <c r="B58" s="171"/>
      <c r="C58" s="156"/>
      <c r="D58" s="204"/>
      <c r="E58" s="202"/>
      <c r="F58" s="203" t="s">
        <v>0</v>
      </c>
      <c r="G58" s="207">
        <f>SUM(G48:G57)</f>
        <v>1</v>
      </c>
      <c r="H58" s="460">
        <f>SUM(H48:H57)</f>
        <v>25</v>
      </c>
      <c r="I58" s="239">
        <f>SUM(I48:I57)</f>
        <v>1</v>
      </c>
      <c r="J58" s="212"/>
      <c r="K58" s="212"/>
      <c r="L58" s="228"/>
      <c r="M58" s="228"/>
      <c r="N58" s="228"/>
      <c r="O58" s="228"/>
      <c r="P58" s="161"/>
      <c r="Q58" s="129"/>
      <c r="R58" s="133"/>
      <c r="S58" s="133"/>
      <c r="T58" s="133"/>
      <c r="U58" s="133"/>
      <c r="V58" s="133"/>
      <c r="W58" s="133"/>
    </row>
    <row r="59" spans="2:23" x14ac:dyDescent="0.25">
      <c r="B59" s="171"/>
      <c r="C59" s="156"/>
      <c r="D59" s="204"/>
      <c r="E59" s="202"/>
      <c r="F59" s="199"/>
      <c r="G59" s="199"/>
      <c r="H59" s="212">
        <f>SUM(H58+I58)</f>
        <v>26</v>
      </c>
      <c r="I59" s="212"/>
      <c r="J59" s="212"/>
      <c r="K59" s="212"/>
      <c r="L59" s="228"/>
      <c r="M59" s="228"/>
      <c r="N59" s="228"/>
      <c r="O59" s="228"/>
      <c r="P59" s="161"/>
      <c r="Q59" s="129"/>
      <c r="R59" s="133"/>
      <c r="S59" s="133"/>
      <c r="T59" s="133"/>
      <c r="U59" s="133"/>
      <c r="V59" s="133"/>
      <c r="W59" s="133"/>
    </row>
    <row r="60" spans="2:23" x14ac:dyDescent="0.25">
      <c r="B60" s="171"/>
      <c r="C60" s="156"/>
      <c r="D60" s="208"/>
      <c r="E60" s="199"/>
      <c r="F60" s="202"/>
      <c r="G60" s="211"/>
      <c r="H60" s="200"/>
      <c r="I60" s="200"/>
      <c r="J60" s="200"/>
      <c r="K60" s="200"/>
      <c r="L60" s="228"/>
      <c r="M60" s="228"/>
      <c r="N60" s="228"/>
      <c r="O60" s="228"/>
      <c r="P60" s="161"/>
      <c r="Q60" s="129"/>
      <c r="R60" s="133"/>
      <c r="S60" s="133"/>
      <c r="T60" s="133"/>
      <c r="U60" s="133"/>
      <c r="V60" s="133"/>
      <c r="W60" s="133"/>
    </row>
    <row r="61" spans="2:23" x14ac:dyDescent="0.25">
      <c r="B61" s="171"/>
      <c r="C61" s="156"/>
      <c r="D61" s="208"/>
      <c r="E61" s="199"/>
      <c r="F61" s="209"/>
      <c r="G61" s="211"/>
      <c r="H61" s="200"/>
      <c r="I61" s="200"/>
      <c r="J61" s="200"/>
      <c r="K61" s="200"/>
      <c r="L61" s="228"/>
      <c r="M61" s="228"/>
      <c r="N61" s="228"/>
      <c r="O61" s="228"/>
      <c r="P61" s="161"/>
      <c r="Q61" s="129"/>
      <c r="R61" s="133"/>
      <c r="S61" s="133"/>
      <c r="T61" s="133"/>
      <c r="U61" s="133"/>
      <c r="V61" s="133"/>
      <c r="W61" s="133"/>
    </row>
    <row r="62" spans="2:23" x14ac:dyDescent="0.25">
      <c r="B62" s="172"/>
      <c r="C62" s="179"/>
      <c r="D62" s="155"/>
      <c r="E62" s="156"/>
      <c r="F62" s="180"/>
      <c r="G62" s="181"/>
      <c r="H62" s="153"/>
      <c r="I62" s="153"/>
      <c r="J62" s="153"/>
      <c r="K62" s="153"/>
      <c r="L62" s="152"/>
      <c r="M62" s="152"/>
      <c r="N62" s="152"/>
      <c r="O62" s="152"/>
      <c r="P62" s="161"/>
      <c r="Q62" s="129"/>
      <c r="R62" s="133"/>
      <c r="S62" s="133"/>
      <c r="T62" s="133"/>
      <c r="U62" s="133"/>
      <c r="V62" s="133"/>
      <c r="W62" s="133"/>
    </row>
    <row r="63" spans="2:23" x14ac:dyDescent="0.25">
      <c r="B63" s="171"/>
      <c r="C63" s="156"/>
      <c r="D63" s="155"/>
      <c r="E63" s="156"/>
      <c r="F63" s="156"/>
      <c r="G63" s="156"/>
      <c r="H63" s="153"/>
      <c r="I63" s="153"/>
      <c r="J63" s="153"/>
      <c r="K63" s="153"/>
      <c r="L63" s="152"/>
      <c r="M63" s="152"/>
      <c r="N63" s="152"/>
      <c r="O63" s="152"/>
      <c r="P63" s="161"/>
      <c r="Q63" s="129"/>
      <c r="R63" s="133"/>
      <c r="S63" s="133"/>
      <c r="T63" s="133"/>
      <c r="U63" s="133"/>
      <c r="V63" s="133"/>
      <c r="W63" s="133"/>
    </row>
    <row r="64" spans="2:23" x14ac:dyDescent="0.25">
      <c r="B64" s="171"/>
      <c r="C64" s="154"/>
      <c r="D64" s="155"/>
      <c r="E64" s="156"/>
      <c r="F64" s="156"/>
      <c r="G64" s="156"/>
      <c r="H64" s="153"/>
      <c r="I64" s="153"/>
      <c r="J64" s="153"/>
      <c r="K64" s="153"/>
      <c r="L64" s="154"/>
      <c r="M64" s="152"/>
      <c r="N64" s="152"/>
      <c r="O64" s="152"/>
      <c r="P64" s="152"/>
      <c r="Q64" s="129"/>
      <c r="R64" s="133"/>
      <c r="S64" s="133"/>
      <c r="T64" s="133"/>
      <c r="U64" s="133"/>
      <c r="V64" s="133"/>
      <c r="W64" s="133"/>
    </row>
    <row r="65" spans="3:24" x14ac:dyDescent="0.25">
      <c r="C65" s="154"/>
      <c r="D65" s="155"/>
      <c r="E65" s="156"/>
      <c r="F65" s="156"/>
      <c r="G65" s="156"/>
      <c r="H65" s="153"/>
      <c r="I65" s="153"/>
      <c r="J65" s="153"/>
      <c r="K65" s="153"/>
      <c r="L65" s="154"/>
      <c r="M65" s="152"/>
      <c r="N65" s="152"/>
      <c r="O65" s="152"/>
      <c r="P65" s="152"/>
      <c r="Q65" s="129"/>
      <c r="R65" s="133"/>
      <c r="S65" s="133"/>
      <c r="T65" s="133"/>
      <c r="U65" s="133"/>
      <c r="V65" s="133"/>
      <c r="W65" s="133"/>
    </row>
    <row r="66" spans="3:24" x14ac:dyDescent="0.25">
      <c r="C66" s="154"/>
      <c r="D66" s="155"/>
      <c r="E66" s="156"/>
      <c r="F66" s="156"/>
      <c r="G66" s="156"/>
      <c r="H66" s="153"/>
      <c r="I66" s="153"/>
      <c r="J66" s="153"/>
      <c r="K66" s="153"/>
      <c r="L66" s="154"/>
      <c r="M66" s="152"/>
      <c r="N66" s="165"/>
      <c r="O66" s="152"/>
      <c r="P66" s="152"/>
      <c r="Q66" s="129"/>
      <c r="R66" s="133"/>
      <c r="S66" s="133"/>
      <c r="T66" s="133"/>
      <c r="U66" s="133"/>
      <c r="V66" s="133"/>
      <c r="W66" s="133"/>
      <c r="X66" s="157"/>
    </row>
    <row r="67" spans="3:24" ht="20" x14ac:dyDescent="0.3">
      <c r="C67" s="156"/>
      <c r="D67" s="164"/>
      <c r="E67" s="156"/>
      <c r="F67" s="156"/>
      <c r="G67" s="156"/>
      <c r="H67" s="153"/>
      <c r="I67" s="153"/>
      <c r="J67" s="166"/>
      <c r="K67" s="153"/>
      <c r="L67" s="156"/>
      <c r="M67" s="152"/>
      <c r="N67" s="152"/>
      <c r="O67" s="165"/>
      <c r="P67" s="165"/>
      <c r="Q67" s="129"/>
      <c r="R67" s="130"/>
      <c r="S67" s="130"/>
      <c r="T67" s="130"/>
      <c r="U67" s="131"/>
      <c r="V67" s="131"/>
      <c r="W67" s="131"/>
      <c r="X67" s="132"/>
    </row>
    <row r="68" spans="3:24" ht="20" x14ac:dyDescent="0.25">
      <c r="C68" s="156"/>
      <c r="D68" s="164"/>
      <c r="E68" s="156"/>
      <c r="F68" s="156"/>
      <c r="G68" s="156"/>
      <c r="H68" s="153"/>
      <c r="I68" s="153"/>
      <c r="J68" s="166"/>
      <c r="K68" s="153"/>
      <c r="L68" s="156"/>
      <c r="M68" s="152"/>
      <c r="N68" s="152"/>
      <c r="O68" s="152"/>
      <c r="P68" s="152"/>
      <c r="Q68" s="129"/>
      <c r="R68" s="133"/>
      <c r="S68" s="133"/>
      <c r="T68" s="133"/>
      <c r="U68" s="133"/>
      <c r="V68" s="133"/>
      <c r="W68" s="133"/>
    </row>
    <row r="69" spans="3:24" ht="20" x14ac:dyDescent="0.25">
      <c r="C69" s="154"/>
      <c r="D69" s="164"/>
      <c r="E69" s="154"/>
      <c r="F69" s="154"/>
      <c r="G69" s="154"/>
      <c r="H69" s="153"/>
      <c r="I69" s="153"/>
      <c r="J69" s="166"/>
      <c r="K69" s="153"/>
      <c r="L69" s="154"/>
      <c r="M69" s="152"/>
      <c r="N69" s="152"/>
      <c r="O69" s="152"/>
      <c r="P69" s="152"/>
      <c r="Q69" s="129"/>
      <c r="R69" s="133"/>
      <c r="S69" s="133"/>
      <c r="T69" s="133"/>
      <c r="U69" s="133"/>
      <c r="V69" s="133"/>
      <c r="W69" s="133"/>
    </row>
    <row r="70" spans="3:24" ht="20" x14ac:dyDescent="0.25">
      <c r="C70" s="154"/>
      <c r="D70" s="164"/>
      <c r="E70" s="154"/>
      <c r="F70" s="154"/>
      <c r="G70" s="154"/>
      <c r="H70" s="153"/>
      <c r="I70" s="153"/>
      <c r="J70" s="166"/>
      <c r="K70" s="153"/>
      <c r="L70" s="154"/>
      <c r="M70" s="152"/>
      <c r="N70" s="152"/>
      <c r="O70" s="152"/>
      <c r="P70" s="152"/>
      <c r="Q70" s="129"/>
      <c r="R70" s="133"/>
      <c r="S70" s="133"/>
      <c r="T70" s="133"/>
      <c r="U70" s="133"/>
      <c r="V70" s="133"/>
      <c r="W70" s="133"/>
    </row>
    <row r="71" spans="3:24" ht="20" x14ac:dyDescent="0.25">
      <c r="C71" s="154"/>
      <c r="D71" s="164"/>
      <c r="E71" s="154"/>
      <c r="F71" s="154"/>
      <c r="G71" s="154"/>
      <c r="H71" s="153"/>
      <c r="I71" s="153"/>
      <c r="J71" s="166"/>
      <c r="K71" s="153"/>
      <c r="L71" s="154"/>
      <c r="M71" s="152"/>
      <c r="N71" s="152"/>
      <c r="O71" s="152"/>
      <c r="P71" s="152"/>
      <c r="Q71" s="129"/>
      <c r="R71" s="133"/>
      <c r="S71" s="133"/>
      <c r="T71" s="133"/>
      <c r="U71" s="133"/>
      <c r="V71" s="133"/>
      <c r="W71" s="133"/>
    </row>
    <row r="72" spans="3:24" x14ac:dyDescent="0.25">
      <c r="C72" s="154"/>
      <c r="D72" s="155"/>
      <c r="E72" s="154"/>
      <c r="F72" s="154"/>
      <c r="G72" s="154"/>
      <c r="H72" s="153"/>
      <c r="I72" s="153"/>
      <c r="J72" s="153"/>
      <c r="K72" s="153"/>
      <c r="L72" s="154"/>
      <c r="M72" s="152"/>
      <c r="N72" s="152"/>
      <c r="O72" s="152"/>
      <c r="P72" s="152"/>
      <c r="Q72" s="129"/>
      <c r="R72" s="133"/>
      <c r="S72" s="133"/>
      <c r="T72" s="133"/>
      <c r="U72" s="133"/>
      <c r="V72" s="133"/>
      <c r="W72" s="133"/>
    </row>
    <row r="73" spans="3:24" x14ac:dyDescent="0.25">
      <c r="C73" s="154"/>
      <c r="D73" s="155"/>
      <c r="E73" s="154"/>
      <c r="F73" s="154"/>
      <c r="G73" s="154"/>
      <c r="H73" s="153"/>
      <c r="I73" s="153"/>
      <c r="J73" s="153"/>
      <c r="K73" s="153"/>
      <c r="L73" s="154"/>
      <c r="M73" s="152"/>
      <c r="N73" s="152"/>
      <c r="O73" s="152"/>
      <c r="P73" s="152"/>
      <c r="Q73" s="129"/>
      <c r="R73" s="133"/>
      <c r="S73" s="133"/>
      <c r="T73" s="133"/>
      <c r="U73" s="133"/>
      <c r="V73" s="133"/>
      <c r="W73" s="133"/>
    </row>
    <row r="74" spans="3:24" x14ac:dyDescent="0.25">
      <c r="C74" s="154"/>
      <c r="D74" s="155"/>
      <c r="E74" s="154"/>
      <c r="F74" s="154"/>
      <c r="G74" s="154"/>
      <c r="H74" s="153"/>
      <c r="I74" s="153"/>
      <c r="J74" s="153"/>
      <c r="K74" s="153"/>
      <c r="L74" s="154"/>
      <c r="M74" s="152"/>
      <c r="N74" s="152"/>
      <c r="O74" s="152"/>
      <c r="P74" s="152"/>
      <c r="Q74" s="129"/>
      <c r="R74" s="133"/>
      <c r="S74" s="133"/>
      <c r="T74" s="133"/>
      <c r="U74" s="133"/>
      <c r="V74" s="133"/>
      <c r="W74" s="133"/>
    </row>
    <row r="75" spans="3:24" x14ac:dyDescent="0.25">
      <c r="C75" s="154"/>
      <c r="D75" s="155"/>
      <c r="E75" s="154"/>
      <c r="F75" s="154"/>
      <c r="G75" s="154"/>
      <c r="H75" s="153"/>
      <c r="I75" s="153"/>
      <c r="J75" s="153"/>
      <c r="K75" s="153"/>
      <c r="L75" s="154"/>
      <c r="M75" s="152"/>
      <c r="N75" s="152"/>
      <c r="O75" s="152"/>
      <c r="P75" s="152"/>
      <c r="Q75" s="129"/>
      <c r="R75" s="133"/>
      <c r="S75" s="133"/>
      <c r="T75" s="133"/>
      <c r="U75" s="133"/>
      <c r="V75" s="133"/>
      <c r="W75" s="133"/>
    </row>
    <row r="76" spans="3:24" x14ac:dyDescent="0.25">
      <c r="C76" s="154"/>
      <c r="D76" s="155"/>
      <c r="E76" s="154"/>
      <c r="F76" s="154"/>
      <c r="G76" s="154"/>
      <c r="H76" s="153"/>
      <c r="I76" s="153"/>
      <c r="J76" s="153"/>
      <c r="K76" s="153"/>
      <c r="L76" s="154"/>
      <c r="M76" s="152"/>
      <c r="N76" s="152"/>
      <c r="O76" s="152"/>
      <c r="P76" s="152"/>
      <c r="Q76" s="129"/>
      <c r="R76" s="133"/>
      <c r="S76" s="133"/>
      <c r="T76" s="133"/>
      <c r="U76" s="133"/>
      <c r="V76" s="133"/>
      <c r="W76" s="133"/>
    </row>
    <row r="77" spans="3:24" x14ac:dyDescent="0.25">
      <c r="C77" s="154"/>
      <c r="D77" s="155"/>
      <c r="E77" s="154"/>
      <c r="F77" s="154"/>
      <c r="G77" s="154"/>
      <c r="H77" s="153"/>
      <c r="I77" s="153"/>
      <c r="J77" s="153"/>
      <c r="K77" s="153"/>
      <c r="L77" s="154"/>
      <c r="M77" s="152"/>
      <c r="N77" s="152"/>
      <c r="O77" s="152"/>
      <c r="P77" s="152"/>
      <c r="Q77" s="129"/>
      <c r="R77" s="133"/>
      <c r="S77" s="133"/>
      <c r="T77" s="133"/>
      <c r="U77" s="133"/>
      <c r="V77" s="133"/>
      <c r="W77" s="133"/>
    </row>
    <row r="78" spans="3:24" x14ac:dyDescent="0.25">
      <c r="C78" s="154"/>
      <c r="D78" s="155"/>
      <c r="E78" s="154"/>
      <c r="F78" s="154"/>
      <c r="G78" s="154"/>
      <c r="H78" s="153"/>
      <c r="I78" s="153"/>
      <c r="J78" s="153"/>
      <c r="K78" s="153"/>
      <c r="L78" s="154"/>
      <c r="M78" s="152"/>
      <c r="N78" s="152"/>
      <c r="O78" s="152"/>
      <c r="P78" s="152"/>
      <c r="Q78" s="129"/>
      <c r="R78" s="133"/>
      <c r="S78" s="133"/>
      <c r="T78" s="133"/>
      <c r="U78" s="133"/>
      <c r="V78" s="133"/>
      <c r="W78" s="133"/>
    </row>
    <row r="79" spans="3:24" x14ac:dyDescent="0.25">
      <c r="C79" s="154"/>
      <c r="D79" s="155"/>
      <c r="E79" s="154"/>
      <c r="F79" s="154"/>
      <c r="G79" s="154"/>
      <c r="H79" s="153"/>
      <c r="I79" s="153"/>
      <c r="J79" s="153"/>
      <c r="K79" s="153"/>
      <c r="L79" s="154"/>
      <c r="M79" s="152"/>
      <c r="N79" s="152"/>
      <c r="O79" s="152"/>
      <c r="P79" s="152"/>
      <c r="Q79" s="129"/>
      <c r="R79" s="133"/>
      <c r="S79" s="133"/>
      <c r="T79" s="133"/>
      <c r="U79" s="133"/>
      <c r="V79" s="133"/>
      <c r="W79" s="133"/>
    </row>
    <row r="80" spans="3:24" x14ac:dyDescent="0.25">
      <c r="C80" s="154"/>
      <c r="D80" s="155"/>
      <c r="E80" s="154"/>
      <c r="F80" s="154"/>
      <c r="G80" s="154"/>
      <c r="H80" s="153"/>
      <c r="I80" s="153"/>
      <c r="J80" s="153"/>
      <c r="K80" s="153"/>
      <c r="L80" s="154"/>
      <c r="M80" s="152"/>
      <c r="N80" s="152"/>
      <c r="O80" s="152"/>
      <c r="P80" s="152"/>
      <c r="Q80" s="129"/>
      <c r="R80" s="133"/>
      <c r="S80" s="133"/>
      <c r="T80" s="133"/>
      <c r="U80" s="133"/>
      <c r="V80" s="133"/>
      <c r="W80" s="133"/>
    </row>
    <row r="81" spans="3:23" x14ac:dyDescent="0.25">
      <c r="C81" s="154"/>
      <c r="D81" s="155"/>
      <c r="E81" s="154"/>
      <c r="F81" s="154"/>
      <c r="G81" s="154"/>
      <c r="H81" s="153"/>
      <c r="I81" s="153"/>
      <c r="J81" s="153"/>
      <c r="K81" s="153"/>
      <c r="L81" s="154"/>
      <c r="M81" s="152"/>
      <c r="N81" s="152"/>
      <c r="O81" s="152"/>
      <c r="P81" s="152"/>
      <c r="Q81" s="129"/>
      <c r="R81" s="133"/>
      <c r="S81" s="133"/>
      <c r="T81" s="133"/>
      <c r="U81" s="133"/>
      <c r="V81" s="133"/>
      <c r="W81" s="133"/>
    </row>
    <row r="82" spans="3:23" x14ac:dyDescent="0.25">
      <c r="C82" s="154"/>
      <c r="D82" s="155"/>
      <c r="E82" s="154"/>
      <c r="F82" s="154"/>
      <c r="G82" s="154"/>
      <c r="H82" s="153"/>
      <c r="I82" s="153"/>
      <c r="J82" s="153"/>
      <c r="K82" s="153"/>
      <c r="L82" s="154"/>
      <c r="M82" s="152"/>
      <c r="N82" s="152"/>
      <c r="O82" s="152"/>
      <c r="P82" s="152"/>
      <c r="Q82" s="129"/>
      <c r="R82" s="133"/>
      <c r="S82" s="133"/>
      <c r="T82" s="133"/>
      <c r="U82" s="133"/>
      <c r="V82" s="133"/>
      <c r="W82" s="133"/>
    </row>
    <row r="83" spans="3:23" x14ac:dyDescent="0.25">
      <c r="C83" s="154"/>
      <c r="D83" s="155"/>
      <c r="E83" s="154"/>
      <c r="F83" s="154"/>
      <c r="G83" s="154"/>
      <c r="H83" s="153"/>
      <c r="I83" s="153"/>
      <c r="J83" s="153"/>
      <c r="K83" s="153"/>
      <c r="L83" s="154"/>
      <c r="M83" s="152"/>
      <c r="N83" s="152"/>
      <c r="O83" s="152"/>
      <c r="P83" s="152"/>
      <c r="Q83" s="129"/>
      <c r="R83" s="133"/>
      <c r="S83" s="133"/>
      <c r="T83" s="133"/>
      <c r="U83" s="133"/>
      <c r="V83" s="133"/>
      <c r="W83" s="133"/>
    </row>
    <row r="84" spans="3:23" x14ac:dyDescent="0.25">
      <c r="C84" s="154"/>
      <c r="D84" s="155"/>
      <c r="E84" s="154"/>
      <c r="F84" s="154"/>
      <c r="G84" s="154"/>
      <c r="H84" s="153"/>
      <c r="I84" s="153"/>
      <c r="J84" s="153"/>
      <c r="K84" s="153"/>
      <c r="L84" s="154"/>
      <c r="M84" s="152"/>
      <c r="N84" s="152"/>
      <c r="O84" s="152"/>
      <c r="P84" s="152"/>
      <c r="Q84" s="129"/>
      <c r="R84" s="133"/>
      <c r="S84" s="133"/>
      <c r="T84" s="133"/>
      <c r="U84" s="133"/>
      <c r="V84" s="133"/>
      <c r="W84" s="133"/>
    </row>
    <row r="85" spans="3:23" x14ac:dyDescent="0.25">
      <c r="C85" s="154"/>
      <c r="D85" s="162"/>
      <c r="E85" s="167"/>
      <c r="F85" s="167"/>
      <c r="G85" s="167"/>
      <c r="H85" s="168"/>
      <c r="I85" s="168"/>
      <c r="J85" s="168"/>
      <c r="K85" s="168"/>
      <c r="L85" s="154"/>
      <c r="M85" s="152"/>
      <c r="N85" s="152"/>
      <c r="O85" s="152"/>
      <c r="P85" s="152"/>
      <c r="Q85" s="129"/>
      <c r="R85" s="133"/>
      <c r="S85" s="133"/>
      <c r="T85" s="133"/>
      <c r="U85" s="133"/>
      <c r="V85" s="133"/>
      <c r="W85" s="133"/>
    </row>
    <row r="86" spans="3:23" x14ac:dyDescent="0.25">
      <c r="M86" s="103"/>
      <c r="N86" s="103"/>
      <c r="O86" s="103"/>
      <c r="P86" s="103"/>
      <c r="Q86" s="129"/>
      <c r="R86" s="133"/>
      <c r="S86" s="133"/>
      <c r="T86" s="133"/>
      <c r="U86" s="133"/>
      <c r="V86" s="133"/>
      <c r="W86" s="133"/>
    </row>
    <row r="87" spans="3:23" x14ac:dyDescent="0.25">
      <c r="M87" s="103"/>
      <c r="N87" s="103"/>
      <c r="O87" s="103"/>
      <c r="P87" s="103"/>
      <c r="Q87" s="129"/>
      <c r="R87" s="133"/>
      <c r="S87" s="133"/>
      <c r="T87" s="133"/>
      <c r="U87" s="133"/>
      <c r="V87" s="133"/>
      <c r="W87" s="133"/>
    </row>
    <row r="88" spans="3:23" x14ac:dyDescent="0.25">
      <c r="M88" s="103"/>
      <c r="N88" s="103"/>
      <c r="O88" s="103"/>
      <c r="P88" s="103"/>
      <c r="Q88" s="103"/>
      <c r="R88" s="133"/>
      <c r="S88" s="133"/>
      <c r="T88" s="133"/>
      <c r="U88" s="133"/>
      <c r="V88" s="133"/>
      <c r="W88" s="133"/>
    </row>
    <row r="89" spans="3:23" x14ac:dyDescent="0.25">
      <c r="M89" s="103"/>
      <c r="N89" s="103"/>
      <c r="O89" s="103"/>
      <c r="P89" s="103"/>
      <c r="Q89" s="103"/>
      <c r="R89" s="133"/>
      <c r="S89" s="133"/>
      <c r="T89" s="133"/>
      <c r="U89" s="133"/>
      <c r="V89" s="133"/>
      <c r="W89" s="133"/>
    </row>
    <row r="90" spans="3:23" x14ac:dyDescent="0.25">
      <c r="M90" s="103"/>
      <c r="N90" s="103"/>
      <c r="O90" s="103"/>
      <c r="P90" s="103"/>
      <c r="Q90" s="103"/>
      <c r="R90" s="133"/>
      <c r="S90" s="133"/>
      <c r="T90" s="133"/>
      <c r="U90" s="133"/>
      <c r="V90" s="133"/>
      <c r="W90" s="133"/>
    </row>
    <row r="91" spans="3:23" x14ac:dyDescent="0.25">
      <c r="M91" s="103"/>
      <c r="N91" s="103"/>
      <c r="O91" s="103"/>
      <c r="P91" s="103"/>
      <c r="Q91" s="103"/>
      <c r="R91" s="133"/>
      <c r="S91" s="133"/>
      <c r="T91" s="133"/>
      <c r="U91" s="133"/>
      <c r="V91" s="133"/>
      <c r="W91" s="133"/>
    </row>
    <row r="92" spans="3:23" x14ac:dyDescent="0.25">
      <c r="R92" s="157"/>
      <c r="S92" s="157"/>
      <c r="T92" s="157"/>
      <c r="U92" s="157"/>
      <c r="V92" s="157"/>
      <c r="W92" s="157"/>
    </row>
    <row r="93" spans="3:23" x14ac:dyDescent="0.25">
      <c r="R93" s="157"/>
      <c r="S93" s="157"/>
      <c r="T93" s="157"/>
      <c r="U93" s="157"/>
      <c r="V93" s="157"/>
      <c r="W93" s="157"/>
    </row>
    <row r="94" spans="3:23" x14ac:dyDescent="0.25">
      <c r="R94" s="157"/>
      <c r="S94" s="157"/>
      <c r="T94" s="157"/>
      <c r="U94" s="157"/>
      <c r="V94" s="157"/>
      <c r="W94" s="157"/>
    </row>
    <row r="95" spans="3:23" x14ac:dyDescent="0.25">
      <c r="R95" s="157"/>
      <c r="S95" s="157"/>
      <c r="T95" s="157"/>
      <c r="U95" s="157"/>
      <c r="V95" s="157"/>
      <c r="W95" s="157"/>
    </row>
    <row r="96" spans="3:23" x14ac:dyDescent="0.25">
      <c r="R96" s="157"/>
      <c r="S96" s="157"/>
      <c r="T96" s="157"/>
      <c r="U96" s="157"/>
      <c r="V96" s="157"/>
      <c r="W96" s="157"/>
    </row>
    <row r="97" spans="18:23" x14ac:dyDescent="0.25">
      <c r="R97" s="157"/>
      <c r="S97" s="157"/>
      <c r="T97" s="157"/>
      <c r="U97" s="157"/>
      <c r="V97" s="157"/>
      <c r="W97" s="157"/>
    </row>
    <row r="98" spans="18:23" x14ac:dyDescent="0.25">
      <c r="R98" s="157"/>
      <c r="S98" s="157"/>
      <c r="T98" s="157"/>
      <c r="U98" s="157"/>
      <c r="V98" s="157"/>
      <c r="W98" s="157"/>
    </row>
    <row r="99" spans="18:23" x14ac:dyDescent="0.25">
      <c r="R99" s="157"/>
      <c r="S99" s="157"/>
      <c r="T99" s="157"/>
      <c r="U99" s="157"/>
      <c r="V99" s="157"/>
      <c r="W99" s="157"/>
    </row>
    <row r="100" spans="18:23" x14ac:dyDescent="0.25">
      <c r="R100" s="157"/>
      <c r="S100" s="157"/>
      <c r="T100" s="157"/>
      <c r="U100" s="157"/>
      <c r="V100" s="157"/>
      <c r="W100" s="157"/>
    </row>
    <row r="101" spans="18:23" x14ac:dyDescent="0.25">
      <c r="R101" s="157"/>
      <c r="S101" s="157"/>
      <c r="T101" s="157"/>
      <c r="U101" s="157"/>
      <c r="V101" s="157"/>
      <c r="W101" s="157"/>
    </row>
    <row r="102" spans="18:23" x14ac:dyDescent="0.25">
      <c r="R102" s="157"/>
      <c r="S102" s="157"/>
      <c r="T102" s="157"/>
      <c r="U102" s="157"/>
      <c r="V102" s="157"/>
      <c r="W102" s="157"/>
    </row>
    <row r="103" spans="18:23" x14ac:dyDescent="0.25">
      <c r="R103" s="157"/>
      <c r="S103" s="157"/>
      <c r="T103" s="157"/>
      <c r="U103" s="157"/>
      <c r="V103" s="157"/>
      <c r="W103" s="157"/>
    </row>
    <row r="104" spans="18:23" x14ac:dyDescent="0.25">
      <c r="R104" s="157"/>
      <c r="S104" s="157"/>
      <c r="T104" s="157"/>
      <c r="U104" s="157"/>
      <c r="V104" s="157"/>
      <c r="W104" s="157"/>
    </row>
    <row r="105" spans="18:23" x14ac:dyDescent="0.25">
      <c r="R105" s="157"/>
      <c r="S105" s="157"/>
      <c r="T105" s="157"/>
      <c r="U105" s="157"/>
      <c r="V105" s="157"/>
      <c r="W105" s="157"/>
    </row>
    <row r="106" spans="18:23" x14ac:dyDescent="0.25">
      <c r="R106" s="157"/>
      <c r="S106" s="157"/>
      <c r="T106" s="157"/>
      <c r="U106" s="157"/>
      <c r="V106" s="157"/>
      <c r="W106" s="157"/>
    </row>
    <row r="107" spans="18:23" x14ac:dyDescent="0.25">
      <c r="R107" s="157"/>
      <c r="S107" s="157"/>
      <c r="T107" s="157"/>
      <c r="U107" s="157"/>
      <c r="V107" s="157"/>
      <c r="W107" s="157"/>
    </row>
    <row r="108" spans="18:23" x14ac:dyDescent="0.25">
      <c r="R108" s="157"/>
      <c r="S108" s="157"/>
      <c r="T108" s="157"/>
      <c r="U108" s="157"/>
      <c r="V108" s="157"/>
      <c r="W108" s="157"/>
    </row>
    <row r="109" spans="18:23" x14ac:dyDescent="0.25">
      <c r="R109" s="157"/>
      <c r="S109" s="157"/>
      <c r="T109" s="157"/>
      <c r="U109" s="157"/>
      <c r="V109" s="157"/>
      <c r="W109" s="157"/>
    </row>
    <row r="110" spans="18:23" x14ac:dyDescent="0.25">
      <c r="R110" s="157"/>
      <c r="S110" s="157"/>
      <c r="T110" s="157"/>
      <c r="U110" s="157"/>
      <c r="V110" s="157"/>
      <c r="W110" s="157"/>
    </row>
    <row r="111" spans="18:23" x14ac:dyDescent="0.25">
      <c r="R111" s="157"/>
      <c r="S111" s="157"/>
      <c r="T111" s="157"/>
      <c r="U111" s="157"/>
      <c r="V111" s="157"/>
      <c r="W111" s="157"/>
    </row>
    <row r="112" spans="18:23" x14ac:dyDescent="0.25">
      <c r="R112" s="157"/>
      <c r="S112" s="157"/>
      <c r="T112" s="157"/>
      <c r="U112" s="157"/>
      <c r="V112" s="157"/>
      <c r="W112" s="157"/>
    </row>
    <row r="113" spans="18:23" x14ac:dyDescent="0.25">
      <c r="R113" s="157"/>
      <c r="S113" s="157"/>
      <c r="T113" s="157"/>
      <c r="U113" s="157"/>
      <c r="V113" s="157"/>
      <c r="W113" s="157"/>
    </row>
    <row r="114" spans="18:23" x14ac:dyDescent="0.25">
      <c r="R114" s="157"/>
      <c r="S114" s="157"/>
      <c r="T114" s="157"/>
      <c r="U114" s="157"/>
      <c r="V114" s="157"/>
      <c r="W114" s="157"/>
    </row>
    <row r="115" spans="18:23" x14ac:dyDescent="0.25">
      <c r="R115" s="157"/>
      <c r="S115" s="157"/>
      <c r="T115" s="157"/>
      <c r="U115" s="157"/>
      <c r="V115" s="157"/>
      <c r="W115" s="157"/>
    </row>
    <row r="116" spans="18:23" x14ac:dyDescent="0.25">
      <c r="R116" s="157"/>
      <c r="S116" s="157"/>
      <c r="T116" s="157"/>
      <c r="U116" s="157"/>
      <c r="V116" s="157"/>
      <c r="W116" s="157"/>
    </row>
    <row r="117" spans="18:23" x14ac:dyDescent="0.25">
      <c r="R117" s="157"/>
      <c r="S117" s="157"/>
      <c r="T117" s="157"/>
      <c r="U117" s="157"/>
      <c r="V117" s="157"/>
      <c r="W117" s="157"/>
    </row>
    <row r="118" spans="18:23" x14ac:dyDescent="0.25">
      <c r="R118" s="157"/>
      <c r="S118" s="157"/>
      <c r="T118" s="157"/>
      <c r="U118" s="157"/>
      <c r="V118" s="157"/>
      <c r="W118" s="157"/>
    </row>
    <row r="119" spans="18:23" x14ac:dyDescent="0.25">
      <c r="R119" s="157"/>
      <c r="S119" s="157"/>
      <c r="T119" s="157"/>
      <c r="U119" s="157"/>
      <c r="V119" s="157"/>
      <c r="W119" s="157"/>
    </row>
    <row r="120" spans="18:23" x14ac:dyDescent="0.25">
      <c r="R120" s="157"/>
      <c r="S120" s="157"/>
      <c r="T120" s="157"/>
      <c r="U120" s="157"/>
      <c r="V120" s="157"/>
      <c r="W120" s="157"/>
    </row>
    <row r="121" spans="18:23" x14ac:dyDescent="0.25">
      <c r="R121" s="157"/>
      <c r="S121" s="157"/>
      <c r="T121" s="157"/>
      <c r="U121" s="157"/>
      <c r="V121" s="157"/>
      <c r="W121" s="157"/>
    </row>
    <row r="122" spans="18:23" x14ac:dyDescent="0.25">
      <c r="R122" s="157"/>
      <c r="S122" s="157"/>
      <c r="T122" s="157"/>
      <c r="U122" s="157"/>
      <c r="V122" s="157"/>
      <c r="W122" s="157"/>
    </row>
    <row r="123" spans="18:23" x14ac:dyDescent="0.25">
      <c r="R123" s="157"/>
      <c r="S123" s="157"/>
      <c r="T123" s="157"/>
      <c r="U123" s="157"/>
      <c r="V123" s="157"/>
      <c r="W123" s="157"/>
    </row>
    <row r="124" spans="18:23" x14ac:dyDescent="0.25">
      <c r="R124" s="157"/>
      <c r="S124" s="157"/>
      <c r="T124" s="157"/>
      <c r="U124" s="157"/>
      <c r="V124" s="157"/>
      <c r="W124" s="157"/>
    </row>
    <row r="125" spans="18:23" x14ac:dyDescent="0.25">
      <c r="R125" s="157"/>
      <c r="S125" s="157"/>
      <c r="T125" s="157"/>
      <c r="U125" s="157"/>
      <c r="V125" s="157"/>
      <c r="W125" s="157"/>
    </row>
    <row r="126" spans="18:23" x14ac:dyDescent="0.25">
      <c r="R126" s="157"/>
      <c r="S126" s="157"/>
      <c r="T126" s="157"/>
      <c r="U126" s="157"/>
      <c r="V126" s="157"/>
      <c r="W126" s="157"/>
    </row>
    <row r="127" spans="18:23" x14ac:dyDescent="0.25">
      <c r="R127" s="157"/>
      <c r="S127" s="157"/>
      <c r="T127" s="157"/>
      <c r="U127" s="157"/>
      <c r="V127" s="157"/>
      <c r="W127" s="157"/>
    </row>
    <row r="128" spans="18:23" x14ac:dyDescent="0.25">
      <c r="R128" s="157"/>
      <c r="S128" s="157"/>
      <c r="T128" s="157"/>
      <c r="U128" s="157"/>
      <c r="V128" s="157"/>
      <c r="W128" s="157"/>
    </row>
    <row r="129" spans="18:23" x14ac:dyDescent="0.25">
      <c r="R129" s="157"/>
      <c r="S129" s="157"/>
      <c r="T129" s="157"/>
      <c r="U129" s="157"/>
      <c r="V129" s="157"/>
      <c r="W129" s="157"/>
    </row>
    <row r="130" spans="18:23" x14ac:dyDescent="0.25">
      <c r="R130" s="157"/>
      <c r="S130" s="157"/>
      <c r="T130" s="157"/>
      <c r="U130" s="157"/>
      <c r="V130" s="157"/>
      <c r="W130" s="157"/>
    </row>
    <row r="131" spans="18:23" x14ac:dyDescent="0.25">
      <c r="R131" s="157"/>
      <c r="S131" s="157"/>
      <c r="T131" s="157"/>
      <c r="U131" s="157"/>
      <c r="V131" s="157"/>
      <c r="W131" s="157"/>
    </row>
    <row r="132" spans="18:23" x14ac:dyDescent="0.25">
      <c r="R132" s="157"/>
      <c r="S132" s="157"/>
      <c r="T132" s="157"/>
      <c r="U132" s="157"/>
      <c r="V132" s="157"/>
      <c r="W132" s="157"/>
    </row>
    <row r="133" spans="18:23" x14ac:dyDescent="0.25">
      <c r="R133" s="157"/>
      <c r="S133" s="157"/>
      <c r="T133" s="157"/>
      <c r="U133" s="157"/>
      <c r="V133" s="157"/>
      <c r="W133" s="157"/>
    </row>
    <row r="134" spans="18:23" x14ac:dyDescent="0.25">
      <c r="R134" s="157"/>
      <c r="S134" s="157"/>
      <c r="T134" s="157"/>
      <c r="U134" s="157"/>
      <c r="V134" s="157"/>
      <c r="W134" s="157"/>
    </row>
    <row r="135" spans="18:23" x14ac:dyDescent="0.25">
      <c r="R135" s="157"/>
      <c r="S135" s="157"/>
      <c r="T135" s="157"/>
      <c r="U135" s="157"/>
      <c r="V135" s="157"/>
      <c r="W135" s="157"/>
    </row>
    <row r="136" spans="18:23" x14ac:dyDescent="0.25">
      <c r="R136" s="157"/>
      <c r="S136" s="157"/>
      <c r="T136" s="157"/>
      <c r="U136" s="157"/>
      <c r="V136" s="157"/>
      <c r="W136" s="157"/>
    </row>
    <row r="137" spans="18:23" x14ac:dyDescent="0.25">
      <c r="R137" s="157"/>
      <c r="S137" s="157"/>
      <c r="T137" s="157"/>
      <c r="U137" s="157"/>
      <c r="V137" s="157"/>
      <c r="W137" s="157"/>
    </row>
    <row r="138" spans="18:23" x14ac:dyDescent="0.25">
      <c r="R138" s="157"/>
      <c r="S138" s="157"/>
      <c r="T138" s="157"/>
      <c r="U138" s="157"/>
      <c r="V138" s="157"/>
      <c r="W138" s="157"/>
    </row>
    <row r="139" spans="18:23" x14ac:dyDescent="0.25">
      <c r="R139" s="157"/>
      <c r="S139" s="157"/>
      <c r="T139" s="157"/>
      <c r="U139" s="157"/>
      <c r="V139" s="157"/>
      <c r="W139" s="157"/>
    </row>
    <row r="140" spans="18:23" x14ac:dyDescent="0.25">
      <c r="R140" s="157"/>
      <c r="S140" s="157"/>
      <c r="T140" s="157"/>
      <c r="U140" s="157"/>
      <c r="V140" s="157"/>
      <c r="W140" s="157"/>
    </row>
    <row r="141" spans="18:23" x14ac:dyDescent="0.25">
      <c r="R141" s="157"/>
      <c r="S141" s="157"/>
      <c r="T141" s="157"/>
      <c r="U141" s="157"/>
      <c r="V141" s="157"/>
      <c r="W141" s="157"/>
    </row>
    <row r="142" spans="18:23" x14ac:dyDescent="0.25">
      <c r="R142" s="157"/>
      <c r="S142" s="157"/>
      <c r="T142" s="157"/>
      <c r="U142" s="157"/>
      <c r="V142" s="157"/>
      <c r="W142" s="157"/>
    </row>
    <row r="143" spans="18:23" x14ac:dyDescent="0.25">
      <c r="R143" s="157"/>
      <c r="S143" s="157"/>
      <c r="T143" s="157"/>
      <c r="U143" s="157"/>
      <c r="V143" s="157"/>
      <c r="W143" s="157"/>
    </row>
    <row r="144" spans="18:23" x14ac:dyDescent="0.25">
      <c r="R144" s="157"/>
      <c r="S144" s="157"/>
      <c r="T144" s="157"/>
      <c r="U144" s="157"/>
      <c r="V144" s="157"/>
      <c r="W144" s="157"/>
    </row>
    <row r="145" spans="18:23" x14ac:dyDescent="0.25">
      <c r="R145" s="157"/>
      <c r="S145" s="157"/>
      <c r="T145" s="157"/>
      <c r="U145" s="157"/>
      <c r="V145" s="157"/>
      <c r="W145" s="157"/>
    </row>
    <row r="146" spans="18:23" x14ac:dyDescent="0.25">
      <c r="R146" s="157"/>
      <c r="S146" s="157"/>
      <c r="T146" s="157"/>
      <c r="U146" s="157"/>
      <c r="V146" s="157"/>
      <c r="W146" s="157"/>
    </row>
    <row r="147" spans="18:23" x14ac:dyDescent="0.25">
      <c r="R147" s="157"/>
      <c r="S147" s="157"/>
      <c r="T147" s="157"/>
      <c r="U147" s="157"/>
      <c r="V147" s="157"/>
      <c r="W147" s="157"/>
    </row>
    <row r="148" spans="18:23" x14ac:dyDescent="0.25">
      <c r="R148" s="157"/>
      <c r="S148" s="157"/>
      <c r="T148" s="157"/>
      <c r="U148" s="157"/>
      <c r="V148" s="157"/>
      <c r="W148" s="157"/>
    </row>
    <row r="149" spans="18:23" x14ac:dyDescent="0.25">
      <c r="R149" s="157"/>
      <c r="S149" s="157"/>
      <c r="T149" s="157"/>
      <c r="U149" s="157"/>
      <c r="V149" s="157"/>
      <c r="W149" s="157"/>
    </row>
    <row r="150" spans="18:23" x14ac:dyDescent="0.25">
      <c r="R150" s="157"/>
      <c r="S150" s="157"/>
      <c r="T150" s="157"/>
      <c r="U150" s="157"/>
      <c r="V150" s="157"/>
      <c r="W150" s="157"/>
    </row>
    <row r="151" spans="18:23" x14ac:dyDescent="0.25">
      <c r="R151" s="157"/>
      <c r="S151" s="157"/>
      <c r="T151" s="157"/>
      <c r="U151" s="157"/>
      <c r="V151" s="157"/>
      <c r="W151" s="157"/>
    </row>
    <row r="152" spans="18:23" x14ac:dyDescent="0.25">
      <c r="R152" s="157"/>
      <c r="S152" s="157"/>
      <c r="T152" s="157"/>
      <c r="U152" s="157"/>
      <c r="V152" s="157"/>
      <c r="W152" s="157"/>
    </row>
    <row r="153" spans="18:23" x14ac:dyDescent="0.25">
      <c r="R153" s="157"/>
      <c r="S153" s="157"/>
      <c r="T153" s="157"/>
      <c r="U153" s="157"/>
      <c r="V153" s="157"/>
      <c r="W153" s="157"/>
    </row>
    <row r="154" spans="18:23" x14ac:dyDescent="0.25">
      <c r="R154" s="157"/>
      <c r="S154" s="157"/>
      <c r="T154" s="157"/>
      <c r="U154" s="157"/>
      <c r="V154" s="157"/>
      <c r="W154" s="157"/>
    </row>
    <row r="155" spans="18:23" x14ac:dyDescent="0.25">
      <c r="R155" s="157"/>
      <c r="S155" s="157"/>
      <c r="T155" s="157"/>
      <c r="U155" s="157"/>
      <c r="V155" s="157"/>
      <c r="W155" s="157"/>
    </row>
    <row r="156" spans="18:23" x14ac:dyDescent="0.25">
      <c r="R156" s="157"/>
      <c r="S156" s="157"/>
      <c r="T156" s="157"/>
      <c r="U156" s="157"/>
      <c r="V156" s="157"/>
      <c r="W156" s="157"/>
    </row>
    <row r="157" spans="18:23" x14ac:dyDescent="0.25">
      <c r="R157" s="157"/>
      <c r="S157" s="157"/>
      <c r="T157" s="157"/>
      <c r="U157" s="157"/>
      <c r="V157" s="157"/>
      <c r="W157" s="157"/>
    </row>
    <row r="158" spans="18:23" x14ac:dyDescent="0.25">
      <c r="R158" s="157"/>
      <c r="S158" s="157"/>
      <c r="T158" s="157"/>
      <c r="U158" s="157"/>
      <c r="V158" s="157"/>
      <c r="W158" s="157"/>
    </row>
    <row r="159" spans="18:23" x14ac:dyDescent="0.25">
      <c r="R159" s="157"/>
      <c r="S159" s="157"/>
      <c r="T159" s="157"/>
      <c r="U159" s="157"/>
      <c r="V159" s="157"/>
      <c r="W159" s="157"/>
    </row>
    <row r="160" spans="18:23" x14ac:dyDescent="0.25">
      <c r="R160" s="157"/>
      <c r="S160" s="157"/>
      <c r="T160" s="157"/>
      <c r="U160" s="157"/>
      <c r="V160" s="157"/>
      <c r="W160" s="157"/>
    </row>
    <row r="161" spans="18:23" x14ac:dyDescent="0.25">
      <c r="R161" s="157"/>
      <c r="S161" s="157"/>
      <c r="T161" s="157"/>
      <c r="U161" s="157"/>
      <c r="V161" s="157"/>
      <c r="W161" s="157"/>
    </row>
    <row r="162" spans="18:23" x14ac:dyDescent="0.25">
      <c r="R162" s="157"/>
      <c r="S162" s="157"/>
      <c r="T162" s="157"/>
      <c r="U162" s="157"/>
      <c r="V162" s="157"/>
      <c r="W162" s="157"/>
    </row>
    <row r="163" spans="18:23" x14ac:dyDescent="0.25">
      <c r="R163" s="157"/>
      <c r="S163" s="157"/>
      <c r="T163" s="157"/>
      <c r="U163" s="157"/>
      <c r="V163" s="157"/>
      <c r="W163" s="157"/>
    </row>
    <row r="164" spans="18:23" x14ac:dyDescent="0.25">
      <c r="R164" s="157"/>
      <c r="S164" s="157"/>
      <c r="T164" s="157"/>
      <c r="U164" s="157"/>
      <c r="V164" s="157"/>
      <c r="W164" s="157"/>
    </row>
    <row r="165" spans="18:23" x14ac:dyDescent="0.25">
      <c r="R165" s="157"/>
      <c r="S165" s="157"/>
      <c r="T165" s="157"/>
      <c r="U165" s="157"/>
      <c r="V165" s="157"/>
      <c r="W165" s="157"/>
    </row>
    <row r="166" spans="18:23" x14ac:dyDescent="0.25">
      <c r="R166" s="157"/>
      <c r="S166" s="157"/>
      <c r="T166" s="157"/>
      <c r="U166" s="157"/>
      <c r="V166" s="157"/>
      <c r="W166" s="157"/>
    </row>
    <row r="167" spans="18:23" x14ac:dyDescent="0.25">
      <c r="R167" s="157"/>
      <c r="S167" s="157"/>
      <c r="T167" s="157"/>
      <c r="U167" s="157"/>
      <c r="V167" s="157"/>
      <c r="W167" s="157"/>
    </row>
    <row r="168" spans="18:23" x14ac:dyDescent="0.25">
      <c r="R168" s="157"/>
      <c r="S168" s="157"/>
      <c r="T168" s="157"/>
      <c r="U168" s="157"/>
      <c r="V168" s="157"/>
      <c r="W168" s="157"/>
    </row>
    <row r="169" spans="18:23" x14ac:dyDescent="0.25">
      <c r="R169" s="157"/>
      <c r="S169" s="157"/>
      <c r="T169" s="157"/>
      <c r="U169" s="157"/>
      <c r="V169" s="157"/>
      <c r="W169" s="157"/>
    </row>
    <row r="170" spans="18:23" x14ac:dyDescent="0.25">
      <c r="R170" s="157"/>
      <c r="S170" s="157"/>
      <c r="T170" s="157"/>
      <c r="U170" s="157"/>
      <c r="V170" s="157"/>
      <c r="W170" s="157"/>
    </row>
    <row r="171" spans="18:23" x14ac:dyDescent="0.25">
      <c r="R171" s="157"/>
      <c r="S171" s="157"/>
      <c r="T171" s="157"/>
      <c r="U171" s="157"/>
      <c r="V171" s="157"/>
      <c r="W171" s="157"/>
    </row>
    <row r="172" spans="18:23" x14ac:dyDescent="0.25">
      <c r="R172" s="157"/>
      <c r="S172" s="157"/>
      <c r="T172" s="157"/>
      <c r="U172" s="157"/>
      <c r="V172" s="157"/>
      <c r="W172" s="157"/>
    </row>
    <row r="173" spans="18:23" x14ac:dyDescent="0.25">
      <c r="R173" s="157"/>
      <c r="S173" s="157"/>
      <c r="T173" s="157"/>
      <c r="U173" s="157"/>
      <c r="V173" s="157"/>
      <c r="W173" s="157"/>
    </row>
    <row r="174" spans="18:23" x14ac:dyDescent="0.25">
      <c r="R174" s="157"/>
      <c r="S174" s="157"/>
      <c r="T174" s="157"/>
      <c r="U174" s="157"/>
      <c r="V174" s="157"/>
      <c r="W174" s="157"/>
    </row>
    <row r="175" spans="18:23" x14ac:dyDescent="0.25">
      <c r="R175" s="157"/>
      <c r="S175" s="157"/>
      <c r="T175" s="157"/>
      <c r="U175" s="157"/>
      <c r="V175" s="157"/>
      <c r="W175" s="157"/>
    </row>
    <row r="176" spans="18:23" x14ac:dyDescent="0.25">
      <c r="R176" s="157"/>
      <c r="S176" s="157"/>
      <c r="T176" s="157"/>
      <c r="U176" s="157"/>
      <c r="V176" s="157"/>
      <c r="W176" s="157"/>
    </row>
    <row r="177" spans="18:23" x14ac:dyDescent="0.25">
      <c r="R177" s="157"/>
      <c r="S177" s="157"/>
      <c r="T177" s="157"/>
      <c r="U177" s="157"/>
      <c r="V177" s="157"/>
      <c r="W177" s="157"/>
    </row>
    <row r="178" spans="18:23" x14ac:dyDescent="0.25">
      <c r="R178" s="157"/>
      <c r="S178" s="157"/>
      <c r="T178" s="157"/>
      <c r="U178" s="157"/>
      <c r="V178" s="157"/>
      <c r="W178" s="157"/>
    </row>
    <row r="179" spans="18:23" x14ac:dyDescent="0.25">
      <c r="R179" s="157"/>
      <c r="S179" s="157"/>
      <c r="T179" s="157"/>
      <c r="U179" s="157"/>
      <c r="V179" s="157"/>
      <c r="W179" s="157"/>
    </row>
    <row r="180" spans="18:23" x14ac:dyDescent="0.25">
      <c r="R180" s="157"/>
      <c r="S180" s="157"/>
      <c r="T180" s="157"/>
      <c r="U180" s="157"/>
      <c r="V180" s="157"/>
      <c r="W180" s="157"/>
    </row>
    <row r="181" spans="18:23" x14ac:dyDescent="0.25">
      <c r="R181" s="157"/>
      <c r="S181" s="157"/>
      <c r="T181" s="157"/>
      <c r="U181" s="157"/>
      <c r="V181" s="157"/>
      <c r="W181" s="157"/>
    </row>
    <row r="182" spans="18:23" x14ac:dyDescent="0.25">
      <c r="R182" s="157"/>
      <c r="S182" s="157"/>
      <c r="T182" s="157"/>
      <c r="U182" s="157"/>
      <c r="V182" s="157"/>
      <c r="W182" s="157"/>
    </row>
    <row r="183" spans="18:23" x14ac:dyDescent="0.25">
      <c r="R183" s="157"/>
      <c r="S183" s="157"/>
      <c r="T183" s="157"/>
      <c r="U183" s="157"/>
      <c r="V183" s="157"/>
      <c r="W183" s="157"/>
    </row>
    <row r="184" spans="18:23" x14ac:dyDescent="0.25">
      <c r="R184" s="157"/>
      <c r="S184" s="157"/>
      <c r="T184" s="157"/>
      <c r="U184" s="157"/>
      <c r="V184" s="157"/>
      <c r="W184" s="157"/>
    </row>
    <row r="185" spans="18:23" x14ac:dyDescent="0.25">
      <c r="R185" s="157"/>
      <c r="S185" s="157"/>
      <c r="T185" s="157"/>
      <c r="U185" s="157"/>
      <c r="V185" s="157"/>
      <c r="W185" s="157"/>
    </row>
    <row r="186" spans="18:23" x14ac:dyDescent="0.25">
      <c r="R186" s="157"/>
      <c r="S186" s="157"/>
      <c r="T186" s="157"/>
      <c r="U186" s="157"/>
      <c r="V186" s="157"/>
      <c r="W186" s="157"/>
    </row>
    <row r="187" spans="18:23" x14ac:dyDescent="0.25">
      <c r="R187" s="157"/>
      <c r="S187" s="157"/>
      <c r="T187" s="157"/>
      <c r="U187" s="157"/>
      <c r="V187" s="157"/>
      <c r="W187" s="157"/>
    </row>
    <row r="188" spans="18:23" x14ac:dyDescent="0.25">
      <c r="R188" s="157"/>
      <c r="S188" s="157"/>
      <c r="T188" s="157"/>
      <c r="U188" s="157"/>
      <c r="V188" s="157"/>
      <c r="W188" s="157"/>
    </row>
    <row r="189" spans="18:23" x14ac:dyDescent="0.25">
      <c r="R189" s="157"/>
      <c r="S189" s="157"/>
      <c r="T189" s="157"/>
      <c r="U189" s="157"/>
      <c r="V189" s="157"/>
      <c r="W189" s="157"/>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6:C18">
    <cfRule type="expression" dxfId="295" priority="157" stopIfTrue="1">
      <formula>B16=3</formula>
    </cfRule>
    <cfRule type="expression" dxfId="294" priority="158" stopIfTrue="1">
      <formula>B16=4</formula>
    </cfRule>
    <cfRule type="expression" dxfId="293" priority="159" stopIfTrue="1">
      <formula>B16=5</formula>
    </cfRule>
  </conditionalFormatting>
  <conditionalFormatting sqref="F5:F40">
    <cfRule type="expression" dxfId="292" priority="153">
      <formula>$H5=0</formula>
    </cfRule>
    <cfRule type="expression" dxfId="291" priority="156">
      <formula>$H5=0</formula>
    </cfRule>
  </conditionalFormatting>
  <conditionalFormatting sqref="H5:H40">
    <cfRule type="cellIs" dxfId="290" priority="160" stopIfTrue="1" operator="between">
      <formula>0.1</formula>
      <formula>1.9</formula>
    </cfRule>
    <cfRule type="cellIs" dxfId="289" priority="161" stopIfTrue="1" operator="between">
      <formula>3</formula>
      <formula>3.9</formula>
    </cfRule>
    <cfRule type="cellIs" dxfId="288" priority="162" stopIfTrue="1" operator="between">
      <formula>4</formula>
      <formula>5</formula>
    </cfRule>
  </conditionalFormatting>
  <conditionalFormatting sqref="F5:F40">
    <cfRule type="expression" dxfId="287" priority="154">
      <formula>$H5&lt;#REF!</formula>
    </cfRule>
    <cfRule type="expression" dxfId="286" priority="155">
      <formula>$H5&gt;=#REF!</formula>
    </cfRule>
  </conditionalFormatting>
  <conditionalFormatting sqref="E5:E40">
    <cfRule type="expression" dxfId="285" priority="147">
      <formula>$D5=3</formula>
    </cfRule>
    <cfRule type="expression" dxfId="284" priority="148">
      <formula>$D5=4</formula>
    </cfRule>
    <cfRule type="expression" dxfId="283" priority="149">
      <formula>$D5=5</formula>
    </cfRule>
    <cfRule type="expression" dxfId="282" priority="150">
      <formula>$D5=8</formula>
    </cfRule>
    <cfRule type="expression" dxfId="281" priority="151">
      <formula>$D5=7</formula>
    </cfRule>
    <cfRule type="expression" dxfId="280" priority="152">
      <formula>$D5=6</formula>
    </cfRule>
  </conditionalFormatting>
  <conditionalFormatting sqref="C16:C18">
    <cfRule type="cellIs" dxfId="279" priority="143" operator="equal">
      <formula>""</formula>
    </cfRule>
    <cfRule type="expression" dxfId="278" priority="144" stopIfTrue="1">
      <formula>B16=8</formula>
    </cfRule>
    <cfRule type="expression" dxfId="277" priority="145" stopIfTrue="1">
      <formula>B16=7</formula>
    </cfRule>
    <cfRule type="expression" dxfId="276" priority="146" stopIfTrue="1">
      <formula>B16=6</formula>
    </cfRule>
  </conditionalFormatting>
  <conditionalFormatting sqref="C37:C40">
    <cfRule type="expression" dxfId="275" priority="140" stopIfTrue="1">
      <formula>B37=3</formula>
    </cfRule>
    <cfRule type="expression" dxfId="274" priority="141" stopIfTrue="1">
      <formula>B37=4</formula>
    </cfRule>
    <cfRule type="expression" dxfId="273" priority="142" stopIfTrue="1">
      <formula>B37=5</formula>
    </cfRule>
  </conditionalFormatting>
  <conditionalFormatting sqref="C37:C40">
    <cfRule type="cellIs" dxfId="272" priority="136" operator="equal">
      <formula>""</formula>
    </cfRule>
    <cfRule type="expression" dxfId="271" priority="137" stopIfTrue="1">
      <formula>B37=8</formula>
    </cfRule>
    <cfRule type="expression" dxfId="270" priority="138" stopIfTrue="1">
      <formula>B37=7</formula>
    </cfRule>
    <cfRule type="expression" dxfId="269" priority="139" stopIfTrue="1">
      <formula>B37=6</formula>
    </cfRule>
  </conditionalFormatting>
  <conditionalFormatting sqref="G42:G46">
    <cfRule type="cellIs" dxfId="268" priority="135" operator="notEqual">
      <formula>""</formula>
    </cfRule>
  </conditionalFormatting>
  <conditionalFormatting sqref="S7:U7 S9:U9 S11:U11">
    <cfRule type="cellIs" dxfId="267" priority="134" operator="equal">
      <formula>0</formula>
    </cfRule>
  </conditionalFormatting>
  <conditionalFormatting sqref="V13 V15">
    <cfRule type="cellIs" dxfId="266" priority="133" operator="equal">
      <formula>0</formula>
    </cfRule>
  </conditionalFormatting>
  <conditionalFormatting sqref="R13 R15">
    <cfRule type="cellIs" dxfId="265" priority="132" operator="equal">
      <formula>0</formula>
    </cfRule>
  </conditionalFormatting>
  <conditionalFormatting sqref="R7 R9 R11">
    <cfRule type="cellIs" dxfId="264" priority="131" operator="equal">
      <formula>0</formula>
    </cfRule>
  </conditionalFormatting>
  <conditionalFormatting sqref="V7 V9 V11">
    <cfRule type="cellIs" dxfId="263" priority="130" operator="equal">
      <formula>0</formula>
    </cfRule>
  </conditionalFormatting>
  <conditionalFormatting sqref="S13:U13 S15:U15">
    <cfRule type="cellIs" dxfId="262" priority="129" operator="equal">
      <formula>0</formula>
    </cfRule>
  </conditionalFormatting>
  <conditionalFormatting sqref="R6">
    <cfRule type="cellIs" dxfId="261" priority="128" operator="equal">
      <formula>0</formula>
    </cfRule>
  </conditionalFormatting>
  <conditionalFormatting sqref="V6">
    <cfRule type="cellIs" dxfId="260" priority="127" operator="equal">
      <formula>0</formula>
    </cfRule>
  </conditionalFormatting>
  <conditionalFormatting sqref="I5:I40">
    <cfRule type="cellIs" dxfId="259" priority="124" stopIfTrue="1" operator="between">
      <formula>"D-3"</formula>
      <formula>"E-5"</formula>
    </cfRule>
    <cfRule type="cellIs" dxfId="258" priority="125" stopIfTrue="1" operator="between">
      <formula>"B-2"</formula>
      <formula>"B-3"</formula>
    </cfRule>
    <cfRule type="cellIs" dxfId="257" priority="126" stopIfTrue="1" operator="between">
      <formula>"A-1"</formula>
      <formula>"A-2"</formula>
    </cfRule>
  </conditionalFormatting>
  <conditionalFormatting sqref="I5:I40">
    <cfRule type="cellIs" dxfId="256" priority="122" operator="equal">
      <formula>"E-5-"</formula>
    </cfRule>
    <cfRule type="cellIs" dxfId="255" priority="123" operator="equal">
      <formula>"A-1+"</formula>
    </cfRule>
  </conditionalFormatting>
  <conditionalFormatting sqref="C42:C46">
    <cfRule type="cellIs" dxfId="254" priority="114" operator="notEqual">
      <formula>""</formula>
    </cfRule>
  </conditionalFormatting>
  <conditionalFormatting sqref="L34:L40">
    <cfRule type="cellIs" dxfId="253" priority="111" stopIfTrue="1" operator="between">
      <formula>0.1</formula>
      <formula>1.9</formula>
    </cfRule>
    <cfRule type="cellIs" dxfId="252" priority="112" stopIfTrue="1" operator="between">
      <formula>3</formula>
      <formula>3.9</formula>
    </cfRule>
    <cfRule type="cellIs" dxfId="251" priority="113" stopIfTrue="1" operator="between">
      <formula>4</formula>
      <formula>5</formula>
    </cfRule>
  </conditionalFormatting>
  <conditionalFormatting sqref="L31:L33">
    <cfRule type="cellIs" dxfId="250" priority="108" stopIfTrue="1" operator="between">
      <formula>0.1</formula>
      <formula>1.9</formula>
    </cfRule>
    <cfRule type="cellIs" dxfId="249" priority="109" stopIfTrue="1" operator="between">
      <formula>3</formula>
      <formula>3.9</formula>
    </cfRule>
    <cfRule type="cellIs" dxfId="248" priority="110" stopIfTrue="1" operator="between">
      <formula>4</formula>
      <formula>5</formula>
    </cfRule>
  </conditionalFormatting>
  <conditionalFormatting sqref="L29:L30">
    <cfRule type="cellIs" dxfId="247" priority="105" stopIfTrue="1" operator="between">
      <formula>0.1</formula>
      <formula>1.9</formula>
    </cfRule>
    <cfRule type="cellIs" dxfId="246" priority="106" stopIfTrue="1" operator="between">
      <formula>3</formula>
      <formula>3.9</formula>
    </cfRule>
    <cfRule type="cellIs" dxfId="245" priority="107" stopIfTrue="1" operator="between">
      <formula>4</formula>
      <formula>5</formula>
    </cfRule>
  </conditionalFormatting>
  <conditionalFormatting sqref="L25:L28">
    <cfRule type="cellIs" dxfId="244" priority="102" stopIfTrue="1" operator="between">
      <formula>0.1</formula>
      <formula>1.9</formula>
    </cfRule>
    <cfRule type="cellIs" dxfId="243" priority="103" stopIfTrue="1" operator="between">
      <formula>3</formula>
      <formula>3.9</formula>
    </cfRule>
    <cfRule type="cellIs" dxfId="242" priority="104" stopIfTrue="1" operator="between">
      <formula>4</formula>
      <formula>5</formula>
    </cfRule>
  </conditionalFormatting>
  <conditionalFormatting sqref="L19:L23">
    <cfRule type="cellIs" dxfId="241" priority="99" stopIfTrue="1" operator="between">
      <formula>0.1</formula>
      <formula>1.9</formula>
    </cfRule>
    <cfRule type="cellIs" dxfId="240" priority="100" stopIfTrue="1" operator="between">
      <formula>3</formula>
      <formula>3.9</formula>
    </cfRule>
    <cfRule type="cellIs" dxfId="239" priority="101" stopIfTrue="1" operator="between">
      <formula>4</formula>
      <formula>5</formula>
    </cfRule>
  </conditionalFormatting>
  <conditionalFormatting sqref="L21:L24">
    <cfRule type="cellIs" dxfId="238" priority="96" stopIfTrue="1" operator="between">
      <formula>0.1</formula>
      <formula>1.9</formula>
    </cfRule>
    <cfRule type="cellIs" dxfId="237" priority="97" stopIfTrue="1" operator="between">
      <formula>3</formula>
      <formula>3.9</formula>
    </cfRule>
    <cfRule type="cellIs" dxfId="236" priority="98" stopIfTrue="1" operator="between">
      <formula>4</formula>
      <formula>5</formula>
    </cfRule>
  </conditionalFormatting>
  <conditionalFormatting sqref="L19:L40">
    <cfRule type="cellIs" dxfId="235" priority="91" operator="equal">
      <formula>""</formula>
    </cfRule>
  </conditionalFormatting>
  <conditionalFormatting sqref="L5:L8">
    <cfRule type="cellIs" dxfId="234" priority="87" stopIfTrue="1" operator="between">
      <formula>0.1</formula>
      <formula>1.9</formula>
    </cfRule>
    <cfRule type="cellIs" dxfId="233" priority="88" stopIfTrue="1" operator="between">
      <formula>3</formula>
      <formula>3.9</formula>
    </cfRule>
    <cfRule type="cellIs" dxfId="232" priority="89" stopIfTrue="1" operator="between">
      <formula>4</formula>
      <formula>5</formula>
    </cfRule>
  </conditionalFormatting>
  <conditionalFormatting sqref="J5:J40">
    <cfRule type="cellIs" dxfId="231" priority="85" operator="equal">
      <formula>"*"</formula>
    </cfRule>
    <cfRule type="cellIs" dxfId="230" priority="86" operator="equal">
      <formula>"!"</formula>
    </cfRule>
  </conditionalFormatting>
  <conditionalFormatting sqref="N5:N40">
    <cfRule type="cellIs" dxfId="229" priority="83" operator="equal">
      <formula>"*"</formula>
    </cfRule>
    <cfRule type="cellIs" dxfId="228" priority="84" operator="equal">
      <formula>"!"</formula>
    </cfRule>
  </conditionalFormatting>
  <conditionalFormatting sqref="M5:M40">
    <cfRule type="cellIs" dxfId="227" priority="80" stopIfTrue="1" operator="between">
      <formula>"D-3"</formula>
      <formula>"E-5"</formula>
    </cfRule>
    <cfRule type="cellIs" dxfId="226" priority="81" stopIfTrue="1" operator="between">
      <formula>"B-2"</formula>
      <formula>"B-3"</formula>
    </cfRule>
    <cfRule type="cellIs" dxfId="225" priority="82" stopIfTrue="1" operator="between">
      <formula>"A-1"</formula>
      <formula>"A-2"</formula>
    </cfRule>
  </conditionalFormatting>
  <conditionalFormatting sqref="M5:M40">
    <cfRule type="cellIs" dxfId="224" priority="78" operator="equal">
      <formula>"E-5-"</formula>
    </cfRule>
    <cfRule type="cellIs" dxfId="223" priority="79" operator="equal">
      <formula>"A-1+"</formula>
    </cfRule>
  </conditionalFormatting>
  <conditionalFormatting sqref="C12:C15">
    <cfRule type="expression" dxfId="222" priority="40" stopIfTrue="1">
      <formula>B12=3</formula>
    </cfRule>
    <cfRule type="expression" dxfId="221" priority="41" stopIfTrue="1">
      <formula>B12=4</formula>
    </cfRule>
    <cfRule type="expression" dxfId="220" priority="42" stopIfTrue="1">
      <formula>B12=5</formula>
    </cfRule>
  </conditionalFormatting>
  <conditionalFormatting sqref="C12:C15">
    <cfRule type="cellIs" dxfId="219" priority="36" operator="equal">
      <formula>""</formula>
    </cfRule>
    <cfRule type="expression" dxfId="218" priority="37" stopIfTrue="1">
      <formula>B12=8</formula>
    </cfRule>
    <cfRule type="expression" dxfId="217" priority="38" stopIfTrue="1">
      <formula>B12=7</formula>
    </cfRule>
    <cfRule type="expression" dxfId="216" priority="39" stopIfTrue="1">
      <formula>B12=6</formula>
    </cfRule>
  </conditionalFormatting>
  <conditionalFormatting sqref="C11">
    <cfRule type="expression" dxfId="215" priority="33" stopIfTrue="1">
      <formula>B11=3</formula>
    </cfRule>
    <cfRule type="expression" dxfId="214" priority="34" stopIfTrue="1">
      <formula>B11=4</formula>
    </cfRule>
    <cfRule type="expression" dxfId="213" priority="35" stopIfTrue="1">
      <formula>B11=5</formula>
    </cfRule>
  </conditionalFormatting>
  <conditionalFormatting sqref="C11">
    <cfRule type="cellIs" dxfId="212" priority="29" operator="equal">
      <formula>""</formula>
    </cfRule>
    <cfRule type="expression" dxfId="211" priority="30" stopIfTrue="1">
      <formula>B11=8</formula>
    </cfRule>
    <cfRule type="expression" dxfId="210" priority="31" stopIfTrue="1">
      <formula>B11=7</formula>
    </cfRule>
    <cfRule type="expression" dxfId="209" priority="32" stopIfTrue="1">
      <formula>B11=6</formula>
    </cfRule>
  </conditionalFormatting>
  <conditionalFormatting sqref="C7:C10">
    <cfRule type="expression" dxfId="208" priority="26" stopIfTrue="1">
      <formula>B7=3</formula>
    </cfRule>
    <cfRule type="expression" dxfId="207" priority="27" stopIfTrue="1">
      <formula>B7=4</formula>
    </cfRule>
    <cfRule type="expression" dxfId="206" priority="28" stopIfTrue="1">
      <formula>B7=5</formula>
    </cfRule>
  </conditionalFormatting>
  <conditionalFormatting sqref="C7:C10">
    <cfRule type="cellIs" dxfId="205" priority="22" operator="equal">
      <formula>""</formula>
    </cfRule>
    <cfRule type="expression" dxfId="204" priority="23" stopIfTrue="1">
      <formula>B7=8</formula>
    </cfRule>
    <cfRule type="expression" dxfId="203" priority="24" stopIfTrue="1">
      <formula>B7=7</formula>
    </cfRule>
    <cfRule type="expression" dxfId="202" priority="25" stopIfTrue="1">
      <formula>B7=6</formula>
    </cfRule>
  </conditionalFormatting>
  <conditionalFormatting sqref="C36">
    <cfRule type="expression" dxfId="201" priority="19" stopIfTrue="1">
      <formula>B36=3</formula>
    </cfRule>
    <cfRule type="expression" dxfId="200" priority="20" stopIfTrue="1">
      <formula>B36=4</formula>
    </cfRule>
    <cfRule type="expression" dxfId="199" priority="21" stopIfTrue="1">
      <formula>B36=5</formula>
    </cfRule>
  </conditionalFormatting>
  <conditionalFormatting sqref="C36">
    <cfRule type="cellIs" dxfId="198" priority="15" operator="equal">
      <formula>""</formula>
    </cfRule>
    <cfRule type="expression" dxfId="197" priority="16" stopIfTrue="1">
      <formula>B36=8</formula>
    </cfRule>
    <cfRule type="expression" dxfId="196" priority="17" stopIfTrue="1">
      <formula>B36=7</formula>
    </cfRule>
    <cfRule type="expression" dxfId="195" priority="18" stopIfTrue="1">
      <formula>B36=6</formula>
    </cfRule>
  </conditionalFormatting>
  <conditionalFormatting sqref="C35">
    <cfRule type="expression" dxfId="194" priority="12" stopIfTrue="1">
      <formula>B35=3</formula>
    </cfRule>
    <cfRule type="expression" dxfId="193" priority="13" stopIfTrue="1">
      <formula>B35=4</formula>
    </cfRule>
    <cfRule type="expression" dxfId="192" priority="14" stopIfTrue="1">
      <formula>B35=5</formula>
    </cfRule>
  </conditionalFormatting>
  <conditionalFormatting sqref="C35">
    <cfRule type="cellIs" dxfId="191" priority="8" operator="equal">
      <formula>""</formula>
    </cfRule>
    <cfRule type="expression" dxfId="190" priority="9" stopIfTrue="1">
      <formula>B35=8</formula>
    </cfRule>
    <cfRule type="expression" dxfId="189" priority="10" stopIfTrue="1">
      <formula>B35=7</formula>
    </cfRule>
    <cfRule type="expression" dxfId="188" priority="11" stopIfTrue="1">
      <formula>B35=6</formula>
    </cfRule>
  </conditionalFormatting>
  <conditionalFormatting sqref="C29:C34">
    <cfRule type="expression" dxfId="187" priority="5" stopIfTrue="1">
      <formula>B29=3</formula>
    </cfRule>
    <cfRule type="expression" dxfId="186" priority="6" stopIfTrue="1">
      <formula>B29=4</formula>
    </cfRule>
    <cfRule type="expression" dxfId="185" priority="7" stopIfTrue="1">
      <formula>B29=5</formula>
    </cfRule>
  </conditionalFormatting>
  <conditionalFormatting sqref="C29:C34">
    <cfRule type="cellIs" dxfId="184" priority="1" operator="equal">
      <formula>""</formula>
    </cfRule>
    <cfRule type="expression" dxfId="183" priority="2" stopIfTrue="1">
      <formula>B29=8</formula>
    </cfRule>
    <cfRule type="expression" dxfId="182" priority="3" stopIfTrue="1">
      <formula>B29=7</formula>
    </cfRule>
    <cfRule type="expression" dxfId="181" priority="4" stopIfTrue="1">
      <formula>B29=6</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E189"/>
  <sheetViews>
    <sheetView showGridLines="0" showRowColHeaders="0" zoomScaleNormal="100" workbookViewId="0">
      <selection activeCell="K5" sqref="K5:M29"/>
    </sheetView>
  </sheetViews>
  <sheetFormatPr defaultColWidth="9.1796875" defaultRowHeight="12.5" x14ac:dyDescent="0.25"/>
  <cols>
    <col min="1" max="1" width="3.1796875" style="83" customWidth="1"/>
    <col min="2" max="2" width="3.1796875" style="84" bestFit="1" customWidth="1"/>
    <col min="3" max="3" width="11.7265625" style="88" bestFit="1" customWidth="1"/>
    <col min="4" max="4" width="3.1796875" style="89" customWidth="1"/>
    <col min="5" max="5" width="5.7265625" style="88" customWidth="1"/>
    <col min="6" max="6" width="20.7265625" style="88" customWidth="1"/>
    <col min="7" max="7" width="5.7265625" style="88" customWidth="1"/>
    <col min="8" max="9" width="5.7265625" style="90" customWidth="1"/>
    <col min="10" max="10" width="3.1796875" style="90" customWidth="1"/>
    <col min="11" max="11" width="2.7265625" style="90" customWidth="1"/>
    <col min="12" max="16" width="2.7265625" style="88" customWidth="1"/>
    <col min="17" max="17" width="2.7265625" style="83" customWidth="1"/>
    <col min="18" max="18" width="3.1796875" style="83" customWidth="1"/>
    <col min="19" max="19" width="4.81640625" style="83" bestFit="1" customWidth="1"/>
    <col min="20" max="20" width="60.7265625" style="83" customWidth="1"/>
    <col min="21" max="21" width="6.7265625" style="83" customWidth="1"/>
    <col min="22" max="26" width="7.26953125" style="87" customWidth="1"/>
    <col min="27" max="29" width="6.7265625" style="87" customWidth="1"/>
    <col min="30" max="30" width="6.26953125" style="87" customWidth="1"/>
    <col min="31" max="31" width="9.1796875" style="87"/>
    <col min="32" max="16384" width="9.1796875" style="83"/>
  </cols>
  <sheetData>
    <row r="1" spans="1:28" s="79" customFormat="1" ht="30" customHeight="1" thickBot="1" x14ac:dyDescent="0.65">
      <c r="B1" s="80"/>
      <c r="C1" s="960" t="s">
        <v>149</v>
      </c>
      <c r="D1" s="961"/>
      <c r="E1" s="961"/>
      <c r="F1" s="961"/>
      <c r="G1" s="961"/>
      <c r="H1" s="961"/>
      <c r="I1" s="961"/>
      <c r="J1" s="961"/>
      <c r="K1" s="938" t="str">
        <f>BEGINBLAD!$I$3</f>
        <v>groep 7</v>
      </c>
      <c r="L1" s="938"/>
      <c r="M1" s="938"/>
      <c r="N1" s="938"/>
      <c r="O1" s="938"/>
      <c r="P1" s="938"/>
      <c r="Q1" s="938"/>
      <c r="R1" s="938"/>
      <c r="S1" s="938"/>
      <c r="T1" s="241"/>
      <c r="AB1" s="82"/>
    </row>
    <row r="2" spans="1:28" ht="24" customHeight="1" x14ac:dyDescent="0.25">
      <c r="C2" s="953" t="str">
        <f>BEGINBLAD!$N$3</f>
        <v>nov.</v>
      </c>
      <c r="D2" s="953"/>
      <c r="E2" s="242"/>
      <c r="F2" s="249" t="str">
        <f>BEGINBLAD!$O$3</f>
        <v>apr.</v>
      </c>
      <c r="G2" s="954">
        <f>BEGINBLAD!$P$3</f>
        <v>2020</v>
      </c>
      <c r="H2" s="954"/>
      <c r="I2" s="954"/>
      <c r="Q2" s="85"/>
      <c r="R2" s="86"/>
      <c r="S2" s="86"/>
    </row>
    <row r="3" spans="1:28" ht="13" thickBot="1" x14ac:dyDescent="0.3">
      <c r="Q3" s="91"/>
      <c r="R3" s="91"/>
      <c r="S3" s="91"/>
      <c r="T3" s="91"/>
    </row>
    <row r="4" spans="1:28" ht="140.15" customHeight="1" x14ac:dyDescent="0.25">
      <c r="C4" s="92"/>
      <c r="D4" s="93"/>
      <c r="E4" s="94"/>
      <c r="F4" s="95" t="s">
        <v>5</v>
      </c>
      <c r="G4" s="96" t="s">
        <v>65</v>
      </c>
      <c r="H4" s="97" t="s">
        <v>150</v>
      </c>
      <c r="I4" s="98" t="s">
        <v>15</v>
      </c>
      <c r="J4" s="237"/>
      <c r="K4" s="528" t="s">
        <v>151</v>
      </c>
      <c r="L4" s="529" t="s">
        <v>152</v>
      </c>
      <c r="M4" s="530" t="s">
        <v>153</v>
      </c>
      <c r="N4" s="530" t="s">
        <v>312</v>
      </c>
      <c r="O4" s="531" t="s">
        <v>313</v>
      </c>
      <c r="P4" s="531" t="s">
        <v>314</v>
      </c>
      <c r="Q4" s="532" t="s">
        <v>315</v>
      </c>
      <c r="R4" s="254"/>
      <c r="S4" s="102"/>
    </row>
    <row r="5" spans="1:28" ht="19.5" customHeight="1" x14ac:dyDescent="0.25">
      <c r="A5" s="103"/>
      <c r="B5" s="913" t="s">
        <v>2</v>
      </c>
      <c r="C5" s="104" t="s">
        <v>68</v>
      </c>
      <c r="D5" s="105">
        <v>0</v>
      </c>
      <c r="E5" s="106">
        <v>1</v>
      </c>
      <c r="F5" s="175" t="str">
        <f>BEGINBLAD!C5</f>
        <v>leerling 1</v>
      </c>
      <c r="G5" s="108">
        <f>'NIVEAU WAARDE - vorig jaar'!H9</f>
        <v>2.1</v>
      </c>
      <c r="H5" s="109">
        <f>'NIVEAU WAARDE - 1e toetsperiode'!H9</f>
        <v>2.1</v>
      </c>
      <c r="I5" s="110" t="str">
        <f>IF(H5=0,"",IF(H5&gt;4.5,"A-1+",IF(H5&gt;4,"A-1",IF(H5&gt;=4,"A-2",IF(H5&gt;3.4,"B-2",IF(H5&gt;=3,"B-3",IF(H5&gt;2.5,"C-3",IF(H5&gt;=2,"C-4",IF(H5&gt;1.6,"D-4",IF(H5&gt;=1,"D-5",IF(H5&gt;0.5,"E-5",IF(H5&gt;=0,"E-5-"))))))))))))</f>
        <v>C-4</v>
      </c>
      <c r="J5" s="238" t="str">
        <f>IF(H5=0,"",IF(G5-H5&gt;0.5,"!",IF(H5-G5&gt;0.5,"*",IF(H5-G5&lt;=0.5,""))))</f>
        <v/>
      </c>
      <c r="K5" s="374" t="s">
        <v>370</v>
      </c>
      <c r="L5" s="373" t="s">
        <v>371</v>
      </c>
      <c r="M5" s="525" t="s">
        <v>370</v>
      </c>
      <c r="N5" s="525"/>
      <c r="O5" s="525"/>
      <c r="P5" s="525"/>
      <c r="Q5" s="375"/>
      <c r="R5" s="238" t="b">
        <f>IF(K5="o","!",IF(L5="o","!",IF(M5="o","!",IF(N5="o","!",IF(O5="o","!",IF(P5="o","!",IF(Q5="o","!")))))))</f>
        <v>0</v>
      </c>
      <c r="S5" s="113"/>
    </row>
    <row r="6" spans="1:28" ht="19.5" customHeight="1" x14ac:dyDescent="0.25">
      <c r="A6" s="103"/>
      <c r="B6" s="913"/>
      <c r="C6" s="114" t="s">
        <v>69</v>
      </c>
      <c r="D6" s="105">
        <v>0</v>
      </c>
      <c r="E6" s="106">
        <v>2</v>
      </c>
      <c r="F6" s="107" t="str">
        <f>BEGINBLAD!C6</f>
        <v>leerling 2</v>
      </c>
      <c r="G6" s="108">
        <f>'NIVEAU WAARDE - vorig jaar'!H10</f>
        <v>2.2000000000000002</v>
      </c>
      <c r="H6" s="109">
        <f>'NIVEAU WAARDE - 1e toetsperiode'!H10</f>
        <v>2.6</v>
      </c>
      <c r="I6" s="110" t="str">
        <f t="shared" ref="I6:I40" si="0">IF(H6=0,"",IF(H6&gt;4.5,"A-1+",IF(H6&gt;4,"A-1",IF(H6&gt;=4,"A-2",IF(H6&gt;3.4,"B-2",IF(H6&gt;=3,"B-3",IF(H6&gt;2.5,"C-3",IF(H6&gt;=2,"C-4",IF(H6&gt;1.6,"D-4",IF(H6&gt;=1,"D-5",IF(H6&gt;0.5,"E-5",IF(H6&gt;=0,"E-5-"))))))))))))</f>
        <v>C-3</v>
      </c>
      <c r="J6" s="238" t="str">
        <f t="shared" ref="J6:J40" si="1">IF(H6=0,"",IF(G6-H6&gt;0.5,"!",IF(H6-G6&gt;0.5,"*",IF(H6-G6&lt;=0.5,""))))</f>
        <v/>
      </c>
      <c r="K6" s="374" t="s">
        <v>371</v>
      </c>
      <c r="L6" s="373" t="s">
        <v>371</v>
      </c>
      <c r="M6" s="525" t="s">
        <v>370</v>
      </c>
      <c r="N6" s="525"/>
      <c r="O6" s="525"/>
      <c r="P6" s="525"/>
      <c r="Q6" s="375"/>
      <c r="R6" s="238" t="b">
        <f t="shared" ref="R6:R40" si="2">IF(K6="o","!",IF(L6="o","!",IF(M6="o","!",IF(N6="o","!",IF(O6="o","!",IF(P6="o","!",IF(Q6="o","!")))))))</f>
        <v>0</v>
      </c>
      <c r="S6" s="113"/>
      <c r="V6" s="158"/>
      <c r="W6" s="158"/>
      <c r="X6" s="158"/>
      <c r="Y6" s="158"/>
      <c r="Z6" s="158"/>
    </row>
    <row r="7" spans="1:28" ht="19.5" customHeight="1" x14ac:dyDescent="0.25">
      <c r="A7" s="115"/>
      <c r="B7" s="369"/>
      <c r="C7" s="371"/>
      <c r="D7" s="105">
        <v>0</v>
      </c>
      <c r="E7" s="106">
        <v>3</v>
      </c>
      <c r="F7" s="107" t="str">
        <f>BEGINBLAD!C7</f>
        <v>leerling 3</v>
      </c>
      <c r="G7" s="108">
        <f>'NIVEAU WAARDE - vorig jaar'!H11</f>
        <v>4.3</v>
      </c>
      <c r="H7" s="109">
        <f>'NIVEAU WAARDE - 1e toetsperiode'!H11</f>
        <v>4.5</v>
      </c>
      <c r="I7" s="110" t="str">
        <f t="shared" si="0"/>
        <v>A-1</v>
      </c>
      <c r="J7" s="238" t="str">
        <f t="shared" si="1"/>
        <v/>
      </c>
      <c r="K7" s="374" t="s">
        <v>371</v>
      </c>
      <c r="L7" s="373" t="s">
        <v>371</v>
      </c>
      <c r="M7" s="525" t="s">
        <v>371</v>
      </c>
      <c r="N7" s="525"/>
      <c r="O7" s="525"/>
      <c r="P7" s="525"/>
      <c r="Q7" s="375"/>
      <c r="R7" s="238" t="b">
        <f t="shared" si="2"/>
        <v>0</v>
      </c>
      <c r="S7" s="113"/>
      <c r="V7" s="159"/>
      <c r="W7" s="159"/>
      <c r="X7" s="159"/>
      <c r="Y7" s="159"/>
      <c r="Z7" s="159"/>
    </row>
    <row r="8" spans="1:28" ht="19.5" customHeight="1" x14ac:dyDescent="0.25">
      <c r="A8" s="115"/>
      <c r="B8" s="369"/>
      <c r="C8" s="371"/>
      <c r="D8" s="118">
        <v>0</v>
      </c>
      <c r="E8" s="106">
        <v>4</v>
      </c>
      <c r="F8" s="107" t="str">
        <f>BEGINBLAD!C8</f>
        <v>leerling 4</v>
      </c>
      <c r="G8" s="108">
        <f>'NIVEAU WAARDE - vorig jaar'!H12</f>
        <v>4.4000000000000004</v>
      </c>
      <c r="H8" s="109">
        <f>'NIVEAU WAARDE - 1e toetsperiode'!H12</f>
        <v>4.5999999999999996</v>
      </c>
      <c r="I8" s="110" t="str">
        <f t="shared" si="0"/>
        <v>A-1+</v>
      </c>
      <c r="J8" s="238" t="str">
        <f t="shared" si="1"/>
        <v/>
      </c>
      <c r="K8" s="374" t="s">
        <v>371</v>
      </c>
      <c r="L8" s="373" t="s">
        <v>371</v>
      </c>
      <c r="M8" s="525" t="s">
        <v>371</v>
      </c>
      <c r="N8" s="525"/>
      <c r="O8" s="525"/>
      <c r="P8" s="525"/>
      <c r="Q8" s="375"/>
      <c r="R8" s="238" t="b">
        <f t="shared" si="2"/>
        <v>0</v>
      </c>
      <c r="S8" s="120"/>
      <c r="V8" s="159"/>
      <c r="W8" s="159"/>
      <c r="X8" s="159"/>
      <c r="Y8" s="159"/>
      <c r="Z8" s="159"/>
    </row>
    <row r="9" spans="1:28" ht="19.5" customHeight="1" x14ac:dyDescent="0.25">
      <c r="A9" s="115"/>
      <c r="B9" s="369"/>
      <c r="C9" s="371"/>
      <c r="D9" s="121">
        <v>0</v>
      </c>
      <c r="E9" s="106">
        <v>5</v>
      </c>
      <c r="F9" s="107" t="str">
        <f>BEGINBLAD!C9</f>
        <v>leerling 5</v>
      </c>
      <c r="G9" s="108">
        <f>'NIVEAU WAARDE - vorig jaar'!H13</f>
        <v>4.2</v>
      </c>
      <c r="H9" s="109">
        <f>'NIVEAU WAARDE - 1e toetsperiode'!H13</f>
        <v>3.7</v>
      </c>
      <c r="I9" s="110" t="str">
        <f t="shared" si="0"/>
        <v>B-2</v>
      </c>
      <c r="J9" s="238" t="str">
        <f t="shared" si="1"/>
        <v/>
      </c>
      <c r="K9" s="374" t="s">
        <v>371</v>
      </c>
      <c r="L9" s="373" t="s">
        <v>371</v>
      </c>
      <c r="M9" s="525" t="s">
        <v>371</v>
      </c>
      <c r="N9" s="525"/>
      <c r="O9" s="525"/>
      <c r="P9" s="525"/>
      <c r="Q9" s="375"/>
      <c r="R9" s="238" t="b">
        <f t="shared" si="2"/>
        <v>0</v>
      </c>
      <c r="S9" s="123"/>
      <c r="V9" s="159"/>
      <c r="W9" s="159"/>
      <c r="X9" s="159"/>
      <c r="Y9" s="159"/>
      <c r="Z9" s="159"/>
    </row>
    <row r="10" spans="1:28" ht="19.5" customHeight="1" x14ac:dyDescent="0.25">
      <c r="A10" s="115"/>
      <c r="B10" s="369"/>
      <c r="C10" s="371"/>
      <c r="D10" s="124">
        <v>0</v>
      </c>
      <c r="E10" s="106">
        <v>6</v>
      </c>
      <c r="F10" s="107" t="str">
        <f>BEGINBLAD!C10</f>
        <v>leerling 6</v>
      </c>
      <c r="G10" s="108">
        <f>'NIVEAU WAARDE - vorig jaar'!H14</f>
        <v>2.8</v>
      </c>
      <c r="H10" s="109">
        <f>'NIVEAU WAARDE - 1e toetsperiode'!H14</f>
        <v>1.7</v>
      </c>
      <c r="I10" s="110" t="str">
        <f t="shared" si="0"/>
        <v>D-4</v>
      </c>
      <c r="J10" s="238" t="str">
        <f t="shared" si="1"/>
        <v>!</v>
      </c>
      <c r="K10" s="374" t="s">
        <v>371</v>
      </c>
      <c r="L10" s="373" t="s">
        <v>371</v>
      </c>
      <c r="M10" s="525" t="s">
        <v>371</v>
      </c>
      <c r="N10" s="525"/>
      <c r="O10" s="525"/>
      <c r="P10" s="525"/>
      <c r="Q10" s="375"/>
      <c r="R10" s="238" t="b">
        <f t="shared" si="2"/>
        <v>0</v>
      </c>
      <c r="S10" s="125"/>
      <c r="V10" s="159"/>
      <c r="W10" s="159"/>
      <c r="X10" s="159"/>
      <c r="Y10" s="159"/>
      <c r="Z10" s="159"/>
    </row>
    <row r="11" spans="1:28" ht="19.5" customHeight="1" x14ac:dyDescent="0.25">
      <c r="A11" s="115"/>
      <c r="B11" s="369"/>
      <c r="C11" s="371"/>
      <c r="D11" s="124">
        <v>0</v>
      </c>
      <c r="E11" s="106">
        <v>7</v>
      </c>
      <c r="F11" s="107" t="str">
        <f>BEGINBLAD!C11</f>
        <v>leerling 7</v>
      </c>
      <c r="G11" s="108">
        <f>'NIVEAU WAARDE - vorig jaar'!H15</f>
        <v>3.8</v>
      </c>
      <c r="H11" s="109">
        <f>'NIVEAU WAARDE - 1e toetsperiode'!H15</f>
        <v>3.8</v>
      </c>
      <c r="I11" s="110" t="str">
        <f t="shared" si="0"/>
        <v>B-2</v>
      </c>
      <c r="J11" s="238" t="str">
        <f t="shared" si="1"/>
        <v/>
      </c>
      <c r="K11" s="374" t="s">
        <v>371</v>
      </c>
      <c r="L11" s="373" t="s">
        <v>371</v>
      </c>
      <c r="M11" s="525" t="s">
        <v>371</v>
      </c>
      <c r="N11" s="525"/>
      <c r="O11" s="525"/>
      <c r="P11" s="525"/>
      <c r="Q11" s="375"/>
      <c r="R11" s="238" t="b">
        <f t="shared" si="2"/>
        <v>0</v>
      </c>
      <c r="S11" s="91"/>
      <c r="V11" s="159"/>
      <c r="W11" s="159"/>
      <c r="X11" s="159"/>
      <c r="Y11" s="159"/>
      <c r="Z11" s="159"/>
    </row>
    <row r="12" spans="1:28" ht="19.5" customHeight="1" x14ac:dyDescent="0.25">
      <c r="A12" s="115"/>
      <c r="B12" s="369"/>
      <c r="C12" s="371"/>
      <c r="D12" s="105">
        <v>0</v>
      </c>
      <c r="E12" s="106">
        <v>8</v>
      </c>
      <c r="F12" s="107" t="str">
        <f>BEGINBLAD!C12</f>
        <v>leerling 8</v>
      </c>
      <c r="G12" s="108">
        <f>'NIVEAU WAARDE - vorig jaar'!H16</f>
        <v>4.0999999999999996</v>
      </c>
      <c r="H12" s="109">
        <f>'NIVEAU WAARDE - 1e toetsperiode'!H16</f>
        <v>3.6</v>
      </c>
      <c r="I12" s="110" t="str">
        <f t="shared" si="0"/>
        <v>B-2</v>
      </c>
      <c r="J12" s="238" t="str">
        <f t="shared" si="1"/>
        <v/>
      </c>
      <c r="K12" s="374" t="s">
        <v>371</v>
      </c>
      <c r="L12" s="373" t="s">
        <v>371</v>
      </c>
      <c r="M12" s="525" t="s">
        <v>371</v>
      </c>
      <c r="N12" s="525"/>
      <c r="O12" s="525"/>
      <c r="P12" s="525"/>
      <c r="Q12" s="375"/>
      <c r="R12" s="238" t="b">
        <f t="shared" si="2"/>
        <v>0</v>
      </c>
      <c r="S12" s="102"/>
      <c r="V12" s="159"/>
      <c r="W12" s="159"/>
      <c r="X12" s="159"/>
      <c r="Y12" s="159"/>
      <c r="Z12" s="159"/>
    </row>
    <row r="13" spans="1:28" ht="19.5" customHeight="1" x14ac:dyDescent="0.25">
      <c r="A13" s="115"/>
      <c r="B13" s="369"/>
      <c r="C13" s="371"/>
      <c r="D13" s="105">
        <v>0</v>
      </c>
      <c r="E13" s="106">
        <v>9</v>
      </c>
      <c r="F13" s="107" t="str">
        <f>BEGINBLAD!C13</f>
        <v>leerling 9</v>
      </c>
      <c r="G13" s="108">
        <f>'NIVEAU WAARDE - vorig jaar'!H17</f>
        <v>4.0999999999999996</v>
      </c>
      <c r="H13" s="109">
        <f>'NIVEAU WAARDE - 1e toetsperiode'!H17</f>
        <v>4.0999999999999996</v>
      </c>
      <c r="I13" s="110" t="str">
        <f t="shared" si="0"/>
        <v>A-1</v>
      </c>
      <c r="J13" s="238" t="str">
        <f t="shared" si="1"/>
        <v/>
      </c>
      <c r="K13" s="374" t="s">
        <v>371</v>
      </c>
      <c r="L13" s="373" t="s">
        <v>371</v>
      </c>
      <c r="M13" s="525" t="s">
        <v>371</v>
      </c>
      <c r="N13" s="525"/>
      <c r="O13" s="525"/>
      <c r="P13" s="525"/>
      <c r="Q13" s="375"/>
      <c r="R13" s="238" t="b">
        <f t="shared" si="2"/>
        <v>0</v>
      </c>
      <c r="S13" s="113"/>
      <c r="V13" s="160"/>
      <c r="W13" s="160"/>
      <c r="X13" s="160"/>
      <c r="Y13" s="160"/>
      <c r="Z13" s="160"/>
    </row>
    <row r="14" spans="1:28" ht="19.5" customHeight="1" thickBot="1" x14ac:dyDescent="0.3">
      <c r="A14" s="115"/>
      <c r="B14" s="369"/>
      <c r="C14" s="371"/>
      <c r="D14" s="105">
        <v>0</v>
      </c>
      <c r="E14" s="106">
        <v>10</v>
      </c>
      <c r="F14" s="107" t="str">
        <f>BEGINBLAD!C14</f>
        <v>leerling 10</v>
      </c>
      <c r="G14" s="108">
        <f>'NIVEAU WAARDE - vorig jaar'!H18</f>
        <v>4.4000000000000004</v>
      </c>
      <c r="H14" s="109">
        <f>'NIVEAU WAARDE - 1e toetsperiode'!H18</f>
        <v>4.0999999999999996</v>
      </c>
      <c r="I14" s="110" t="str">
        <f t="shared" si="0"/>
        <v>A-1</v>
      </c>
      <c r="J14" s="238" t="str">
        <f t="shared" si="1"/>
        <v/>
      </c>
      <c r="K14" s="374" t="s">
        <v>371</v>
      </c>
      <c r="L14" s="373"/>
      <c r="M14" s="525" t="s">
        <v>371</v>
      </c>
      <c r="N14" s="525"/>
      <c r="O14" s="525"/>
      <c r="P14" s="525"/>
      <c r="Q14" s="375"/>
      <c r="R14" s="238" t="b">
        <f t="shared" si="2"/>
        <v>0</v>
      </c>
      <c r="S14" s="120"/>
      <c r="T14" s="126" t="s">
        <v>13</v>
      </c>
      <c r="V14" s="160"/>
      <c r="W14" s="160"/>
      <c r="X14" s="160"/>
      <c r="Y14" s="160"/>
      <c r="Z14" s="160"/>
    </row>
    <row r="15" spans="1:28" ht="19.5" customHeight="1" x14ac:dyDescent="0.25">
      <c r="A15" s="115"/>
      <c r="B15" s="116"/>
      <c r="C15" s="117"/>
      <c r="D15" s="105">
        <v>0</v>
      </c>
      <c r="E15" s="106">
        <v>11</v>
      </c>
      <c r="F15" s="107" t="str">
        <f>BEGINBLAD!C15</f>
        <v>leerling 11</v>
      </c>
      <c r="G15" s="108">
        <f>'NIVEAU WAARDE - vorig jaar'!H19</f>
        <v>3.5</v>
      </c>
      <c r="H15" s="109">
        <f>'NIVEAU WAARDE - 1e toetsperiode'!H19</f>
        <v>3</v>
      </c>
      <c r="I15" s="110" t="str">
        <f t="shared" si="0"/>
        <v>B-3</v>
      </c>
      <c r="J15" s="238" t="str">
        <f t="shared" si="1"/>
        <v/>
      </c>
      <c r="K15" s="374" t="s">
        <v>371</v>
      </c>
      <c r="L15" s="373" t="s">
        <v>371</v>
      </c>
      <c r="M15" s="525" t="s">
        <v>371</v>
      </c>
      <c r="N15" s="525"/>
      <c r="O15" s="525"/>
      <c r="P15" s="525"/>
      <c r="Q15" s="375"/>
      <c r="R15" s="238" t="b">
        <f t="shared" si="2"/>
        <v>0</v>
      </c>
      <c r="S15" s="957" t="s">
        <v>70</v>
      </c>
      <c r="T15" s="962" t="str">
        <f>'INTENSIEF - 1e periode'!I6</f>
        <v>Tempo bij automatiseringstoetsen verhogen, minimaal 0,5 punt vooruitgang.</v>
      </c>
      <c r="V15" s="160"/>
      <c r="W15" s="160"/>
      <c r="X15" s="160"/>
      <c r="Y15" s="160"/>
      <c r="Z15" s="160"/>
    </row>
    <row r="16" spans="1:28" ht="19.5" customHeight="1" x14ac:dyDescent="0.25">
      <c r="A16" s="115"/>
      <c r="B16" s="116"/>
      <c r="C16" s="117"/>
      <c r="D16" s="105">
        <v>0</v>
      </c>
      <c r="E16" s="106">
        <v>12</v>
      </c>
      <c r="F16" s="107" t="str">
        <f>BEGINBLAD!C16</f>
        <v>leerling 12</v>
      </c>
      <c r="G16" s="108">
        <f>'NIVEAU WAARDE - vorig jaar'!H20</f>
        <v>2.1</v>
      </c>
      <c r="H16" s="109">
        <f>'NIVEAU WAARDE - 1e toetsperiode'!H20</f>
        <v>1.5</v>
      </c>
      <c r="I16" s="110" t="str">
        <f t="shared" si="0"/>
        <v>D-5</v>
      </c>
      <c r="J16" s="238" t="str">
        <f t="shared" si="1"/>
        <v>!</v>
      </c>
      <c r="K16" s="374" t="s">
        <v>371</v>
      </c>
      <c r="L16" s="373" t="s">
        <v>372</v>
      </c>
      <c r="M16" s="525" t="s">
        <v>316</v>
      </c>
      <c r="N16" s="525"/>
      <c r="O16" s="525"/>
      <c r="P16" s="525"/>
      <c r="Q16" s="375"/>
      <c r="R16" s="238" t="str">
        <f t="shared" si="2"/>
        <v>!</v>
      </c>
      <c r="S16" s="958"/>
      <c r="T16" s="963"/>
      <c r="V16" s="160"/>
      <c r="W16" s="160"/>
      <c r="X16" s="160"/>
      <c r="Y16" s="160"/>
      <c r="Z16" s="160"/>
    </row>
    <row r="17" spans="1:28" ht="19.5" customHeight="1" x14ac:dyDescent="0.25">
      <c r="A17" s="115"/>
      <c r="B17" s="116"/>
      <c r="C17" s="117"/>
      <c r="D17" s="118">
        <v>0</v>
      </c>
      <c r="E17" s="106">
        <v>13</v>
      </c>
      <c r="F17" s="107" t="str">
        <f>BEGINBLAD!C17</f>
        <v>leerling 13</v>
      </c>
      <c r="G17" s="108">
        <f>'NIVEAU WAARDE - vorig jaar'!H21</f>
        <v>4.2</v>
      </c>
      <c r="H17" s="109">
        <f>'NIVEAU WAARDE - 1e toetsperiode'!H21</f>
        <v>4.2</v>
      </c>
      <c r="I17" s="110" t="str">
        <f t="shared" si="0"/>
        <v>A-1</v>
      </c>
      <c r="J17" s="238" t="str">
        <f t="shared" si="1"/>
        <v/>
      </c>
      <c r="K17" s="374" t="s">
        <v>371</v>
      </c>
      <c r="L17" s="373" t="s">
        <v>371</v>
      </c>
      <c r="M17" s="525" t="s">
        <v>371</v>
      </c>
      <c r="N17" s="525"/>
      <c r="O17" s="525"/>
      <c r="P17" s="525"/>
      <c r="Q17" s="375"/>
      <c r="R17" s="238" t="b">
        <f t="shared" si="2"/>
        <v>0</v>
      </c>
      <c r="S17" s="966" t="s">
        <v>71</v>
      </c>
      <c r="T17" s="964" t="str">
        <f>'INTENSIEF - 1e periode'!I8</f>
        <v xml:space="preserve">1x in de week klassikaal aan het begin van de les: Optellen, aftrekken, vermenigvuldigen, delen, metriek stelsel. Veel aandacht voor de strategie, om de som handig uit te rekenen. Daarnaast is er in de methode aandacht voor hoofdrekenen. Kinderen maken in de week erna de les af.  
</v>
      </c>
      <c r="V17" s="133"/>
      <c r="W17" s="133"/>
      <c r="X17" s="133"/>
      <c r="Y17" s="133"/>
      <c r="Z17" s="133"/>
    </row>
    <row r="18" spans="1:28" ht="19.5" customHeight="1" x14ac:dyDescent="0.25">
      <c r="A18" s="115"/>
      <c r="B18" s="116"/>
      <c r="C18" s="117"/>
      <c r="D18" s="124">
        <v>0</v>
      </c>
      <c r="E18" s="106">
        <v>14</v>
      </c>
      <c r="F18" s="107" t="str">
        <f>BEGINBLAD!C18</f>
        <v>leerling 14</v>
      </c>
      <c r="G18" s="108">
        <f>'NIVEAU WAARDE - vorig jaar'!H22</f>
        <v>0.4</v>
      </c>
      <c r="H18" s="109">
        <f>'NIVEAU WAARDE - 1e toetsperiode'!H22</f>
        <v>0.8</v>
      </c>
      <c r="I18" s="110" t="str">
        <f t="shared" si="0"/>
        <v>E-5</v>
      </c>
      <c r="J18" s="238" t="str">
        <f t="shared" si="1"/>
        <v/>
      </c>
      <c r="K18" s="374" t="s">
        <v>371</v>
      </c>
      <c r="L18" s="373" t="s">
        <v>370</v>
      </c>
      <c r="M18" s="525" t="s">
        <v>316</v>
      </c>
      <c r="N18" s="525"/>
      <c r="O18" s="525"/>
      <c r="P18" s="525"/>
      <c r="Q18" s="375"/>
      <c r="R18" s="238" t="str">
        <f t="shared" si="2"/>
        <v>!</v>
      </c>
      <c r="S18" s="966"/>
      <c r="T18" s="964"/>
      <c r="U18" s="103"/>
      <c r="V18" s="127"/>
      <c r="W18" s="127"/>
      <c r="X18" s="127"/>
      <c r="Y18" s="127"/>
      <c r="Z18" s="127"/>
      <c r="AA18" s="127"/>
    </row>
    <row r="19" spans="1:28" ht="19.5" customHeight="1" x14ac:dyDescent="0.3">
      <c r="D19" s="124">
        <v>0</v>
      </c>
      <c r="E19" s="106">
        <v>15</v>
      </c>
      <c r="F19" s="107" t="str">
        <f>BEGINBLAD!C19</f>
        <v>leerling 15</v>
      </c>
      <c r="G19" s="108">
        <f>'NIVEAU WAARDE - vorig jaar'!H23</f>
        <v>4.3</v>
      </c>
      <c r="H19" s="109">
        <f>'NIVEAU WAARDE - 1e toetsperiode'!H23</f>
        <v>3.9</v>
      </c>
      <c r="I19" s="110" t="str">
        <f t="shared" si="0"/>
        <v>B-2</v>
      </c>
      <c r="J19" s="238" t="str">
        <f t="shared" si="1"/>
        <v/>
      </c>
      <c r="K19" s="374" t="s">
        <v>371</v>
      </c>
      <c r="L19" s="373" t="s">
        <v>371</v>
      </c>
      <c r="M19" s="525" t="s">
        <v>371</v>
      </c>
      <c r="N19" s="525"/>
      <c r="O19" s="525"/>
      <c r="P19" s="525"/>
      <c r="Q19" s="375"/>
      <c r="R19" s="238" t="b">
        <f t="shared" si="2"/>
        <v>0</v>
      </c>
      <c r="S19" s="966"/>
      <c r="T19" s="964"/>
      <c r="U19" s="129"/>
      <c r="V19" s="130"/>
      <c r="W19" s="130"/>
      <c r="X19" s="130"/>
      <c r="Y19" s="131"/>
      <c r="Z19" s="131"/>
      <c r="AA19" s="131"/>
      <c r="AB19" s="132"/>
    </row>
    <row r="20" spans="1:28" ht="19.5" customHeight="1" x14ac:dyDescent="0.25">
      <c r="D20" s="124">
        <v>0</v>
      </c>
      <c r="E20" s="106">
        <v>16</v>
      </c>
      <c r="F20" s="107" t="str">
        <f>BEGINBLAD!C20</f>
        <v>leerling 16</v>
      </c>
      <c r="G20" s="108">
        <f>'NIVEAU WAARDE - vorig jaar'!H24</f>
        <v>4.4000000000000004</v>
      </c>
      <c r="H20" s="109">
        <f>'NIVEAU WAARDE - 1e toetsperiode'!H24</f>
        <v>4.0999999999999996</v>
      </c>
      <c r="I20" s="110" t="str">
        <f t="shared" si="0"/>
        <v>A-1</v>
      </c>
      <c r="J20" s="238" t="str">
        <f t="shared" si="1"/>
        <v/>
      </c>
      <c r="K20" s="374" t="s">
        <v>371</v>
      </c>
      <c r="L20" s="373" t="s">
        <v>371</v>
      </c>
      <c r="M20" s="525" t="s">
        <v>371</v>
      </c>
      <c r="N20" s="525"/>
      <c r="O20" s="525"/>
      <c r="P20" s="525"/>
      <c r="Q20" s="375"/>
      <c r="R20" s="238" t="b">
        <f t="shared" si="2"/>
        <v>0</v>
      </c>
      <c r="S20" s="966"/>
      <c r="T20" s="964"/>
      <c r="U20" s="129"/>
      <c r="V20" s="133"/>
      <c r="W20" s="133"/>
      <c r="X20" s="133"/>
      <c r="Y20" s="133"/>
      <c r="Z20" s="133"/>
      <c r="AA20" s="133"/>
    </row>
    <row r="21" spans="1:28" ht="19.5" customHeight="1" x14ac:dyDescent="0.25">
      <c r="D21" s="124">
        <v>0</v>
      </c>
      <c r="E21" s="106">
        <v>17</v>
      </c>
      <c r="F21" s="107" t="str">
        <f>BEGINBLAD!C21</f>
        <v>leerling 17</v>
      </c>
      <c r="G21" s="108">
        <f>'NIVEAU WAARDE - vorig jaar'!H25</f>
        <v>3</v>
      </c>
      <c r="H21" s="109">
        <f>'NIVEAU WAARDE - 1e toetsperiode'!H25</f>
        <v>2.7</v>
      </c>
      <c r="I21" s="110" t="str">
        <f t="shared" si="0"/>
        <v>C-3</v>
      </c>
      <c r="J21" s="238" t="str">
        <f t="shared" si="1"/>
        <v/>
      </c>
      <c r="K21" s="374" t="s">
        <v>371</v>
      </c>
      <c r="L21" s="373" t="s">
        <v>370</v>
      </c>
      <c r="M21" s="525" t="s">
        <v>371</v>
      </c>
      <c r="N21" s="525"/>
      <c r="O21" s="525"/>
      <c r="P21" s="525"/>
      <c r="Q21" s="375"/>
      <c r="R21" s="238" t="b">
        <f t="shared" si="2"/>
        <v>0</v>
      </c>
      <c r="S21" s="966"/>
      <c r="T21" s="964"/>
      <c r="U21" s="129"/>
      <c r="V21" s="133"/>
      <c r="W21" s="133"/>
      <c r="X21" s="133"/>
      <c r="Y21" s="133"/>
      <c r="Z21" s="133"/>
      <c r="AA21" s="133"/>
    </row>
    <row r="22" spans="1:28" ht="19.5" customHeight="1" x14ac:dyDescent="0.25">
      <c r="D22" s="124">
        <v>0</v>
      </c>
      <c r="E22" s="106">
        <v>18</v>
      </c>
      <c r="F22" s="107" t="str">
        <f>BEGINBLAD!C22</f>
        <v>leerling 18</v>
      </c>
      <c r="G22" s="108">
        <f>'NIVEAU WAARDE - vorig jaar'!H26</f>
        <v>3.3</v>
      </c>
      <c r="H22" s="109">
        <f>'NIVEAU WAARDE - 1e toetsperiode'!H26</f>
        <v>3.1</v>
      </c>
      <c r="I22" s="110" t="str">
        <f t="shared" si="0"/>
        <v>B-3</v>
      </c>
      <c r="J22" s="238" t="str">
        <f t="shared" si="1"/>
        <v/>
      </c>
      <c r="K22" s="374" t="s">
        <v>371</v>
      </c>
      <c r="L22" s="373" t="s">
        <v>371</v>
      </c>
      <c r="M22" s="525" t="s">
        <v>371</v>
      </c>
      <c r="N22" s="525"/>
      <c r="O22" s="525"/>
      <c r="P22" s="525"/>
      <c r="Q22" s="375"/>
      <c r="R22" s="238" t="b">
        <f t="shared" si="2"/>
        <v>0</v>
      </c>
      <c r="S22" s="966"/>
      <c r="T22" s="964"/>
      <c r="U22" s="129"/>
      <c r="V22" s="133"/>
      <c r="W22" s="133"/>
      <c r="X22" s="133"/>
      <c r="Y22" s="133"/>
      <c r="Z22" s="133"/>
      <c r="AA22" s="133"/>
    </row>
    <row r="23" spans="1:28" ht="19.5" customHeight="1" x14ac:dyDescent="0.25">
      <c r="B23" s="135"/>
      <c r="C23" s="135"/>
      <c r="D23" s="124">
        <v>0</v>
      </c>
      <c r="E23" s="106">
        <v>19</v>
      </c>
      <c r="F23" s="107" t="str">
        <f>BEGINBLAD!C23</f>
        <v>leerling 19</v>
      </c>
      <c r="G23" s="108">
        <f>'NIVEAU WAARDE - vorig jaar'!H27</f>
        <v>3.1</v>
      </c>
      <c r="H23" s="109">
        <f>'NIVEAU WAARDE - 1e toetsperiode'!H27</f>
        <v>2.8</v>
      </c>
      <c r="I23" s="110" t="str">
        <f t="shared" si="0"/>
        <v>C-3</v>
      </c>
      <c r="J23" s="238" t="str">
        <f t="shared" si="1"/>
        <v/>
      </c>
      <c r="K23" s="374" t="s">
        <v>371</v>
      </c>
      <c r="L23" s="373" t="s">
        <v>372</v>
      </c>
      <c r="M23" s="525" t="s">
        <v>370</v>
      </c>
      <c r="N23" s="525"/>
      <c r="O23" s="525"/>
      <c r="P23" s="525"/>
      <c r="Q23" s="375"/>
      <c r="R23" s="238" t="b">
        <f t="shared" si="2"/>
        <v>0</v>
      </c>
      <c r="S23" s="966"/>
      <c r="T23" s="964"/>
    </row>
    <row r="24" spans="1:28" ht="19.5" customHeight="1" thickBot="1" x14ac:dyDescent="0.3">
      <c r="B24" s="136"/>
      <c r="C24" s="135"/>
      <c r="D24" s="124">
        <v>0</v>
      </c>
      <c r="E24" s="106">
        <v>20</v>
      </c>
      <c r="F24" s="107" t="str">
        <f>BEGINBLAD!C24</f>
        <v>leerling 20</v>
      </c>
      <c r="G24" s="108">
        <f>'NIVEAU WAARDE - vorig jaar'!H28</f>
        <v>3</v>
      </c>
      <c r="H24" s="109">
        <f>'NIVEAU WAARDE - 1e toetsperiode'!H28</f>
        <v>2.1</v>
      </c>
      <c r="I24" s="110" t="str">
        <f t="shared" si="0"/>
        <v>C-4</v>
      </c>
      <c r="J24" s="238" t="str">
        <f t="shared" si="1"/>
        <v>!</v>
      </c>
      <c r="K24" s="374" t="s">
        <v>371</v>
      </c>
      <c r="L24" s="373" t="s">
        <v>370</v>
      </c>
      <c r="M24" s="525" t="s">
        <v>371</v>
      </c>
      <c r="N24" s="525"/>
      <c r="O24" s="525"/>
      <c r="P24" s="525"/>
      <c r="Q24" s="375"/>
      <c r="R24" s="238" t="b">
        <f t="shared" si="2"/>
        <v>0</v>
      </c>
      <c r="S24" s="967"/>
      <c r="T24" s="965"/>
      <c r="U24" s="129"/>
      <c r="V24" s="133"/>
      <c r="W24" s="133"/>
      <c r="X24" s="133"/>
      <c r="Y24" s="133"/>
      <c r="Z24" s="133"/>
      <c r="AA24" s="133"/>
    </row>
    <row r="25" spans="1:28" ht="19.5" customHeight="1" thickBot="1" x14ac:dyDescent="0.3">
      <c r="B25" s="136"/>
      <c r="C25" s="135"/>
      <c r="D25" s="124">
        <v>0</v>
      </c>
      <c r="E25" s="106">
        <v>21</v>
      </c>
      <c r="F25" s="107" t="str">
        <f>BEGINBLAD!C25</f>
        <v>leerling 21</v>
      </c>
      <c r="G25" s="108">
        <f>'NIVEAU WAARDE - vorig jaar'!H29</f>
        <v>2.2000000000000002</v>
      </c>
      <c r="H25" s="109">
        <f>'NIVEAU WAARDE - 1e toetsperiode'!H29</f>
        <v>2</v>
      </c>
      <c r="I25" s="110" t="str">
        <f t="shared" si="0"/>
        <v>C-4</v>
      </c>
      <c r="J25" s="238" t="str">
        <f t="shared" si="1"/>
        <v/>
      </c>
      <c r="K25" s="374" t="s">
        <v>371</v>
      </c>
      <c r="L25" s="373" t="s">
        <v>371</v>
      </c>
      <c r="M25" s="525" t="s">
        <v>370</v>
      </c>
      <c r="N25" s="525"/>
      <c r="O25" s="525"/>
      <c r="P25" s="525"/>
      <c r="Q25" s="375"/>
      <c r="R25" s="238" t="b">
        <f t="shared" si="2"/>
        <v>0</v>
      </c>
      <c r="S25" s="120"/>
      <c r="T25" s="126" t="s">
        <v>14</v>
      </c>
      <c r="U25" s="129"/>
      <c r="V25" s="133"/>
      <c r="W25" s="133"/>
      <c r="X25" s="133"/>
      <c r="Y25" s="133"/>
      <c r="Z25" s="133"/>
      <c r="AA25" s="133"/>
    </row>
    <row r="26" spans="1:28" ht="19.5" customHeight="1" x14ac:dyDescent="0.25">
      <c r="D26" s="124">
        <v>0</v>
      </c>
      <c r="E26" s="106">
        <v>22</v>
      </c>
      <c r="F26" s="107" t="str">
        <f>BEGINBLAD!C26</f>
        <v>leerling 22</v>
      </c>
      <c r="G26" s="108">
        <f>'NIVEAU WAARDE - vorig jaar'!H30</f>
        <v>4.5999999999999996</v>
      </c>
      <c r="H26" s="109">
        <f>'NIVEAU WAARDE - 1e toetsperiode'!H30</f>
        <v>4.2</v>
      </c>
      <c r="I26" s="110" t="str">
        <f t="shared" si="0"/>
        <v>A-1</v>
      </c>
      <c r="J26" s="238" t="str">
        <f t="shared" si="1"/>
        <v/>
      </c>
      <c r="K26" s="374" t="s">
        <v>371</v>
      </c>
      <c r="L26" s="373" t="s">
        <v>371</v>
      </c>
      <c r="M26" s="525" t="s">
        <v>371</v>
      </c>
      <c r="N26" s="525"/>
      <c r="O26" s="525"/>
      <c r="P26" s="525"/>
      <c r="Q26" s="375"/>
      <c r="R26" s="238" t="b">
        <f t="shared" si="2"/>
        <v>0</v>
      </c>
      <c r="S26" s="957" t="s">
        <v>70</v>
      </c>
      <c r="T26" s="962" t="str">
        <f>'BASISAANPAK - 1e periode'!I6</f>
        <v xml:space="preserve"> - handige strategieën kennen + toepassen
 - tempo rekenen opvoeren / tafels memoriseren
 - snel cijferend kunnen rekenen (100 sommen in 5 min.)</v>
      </c>
      <c r="U26" s="103"/>
      <c r="V26" s="127"/>
      <c r="W26" s="127"/>
      <c r="X26" s="127"/>
      <c r="Y26" s="127"/>
      <c r="Z26" s="127"/>
      <c r="AA26" s="127"/>
    </row>
    <row r="27" spans="1:28" s="139" customFormat="1" ht="19.5" customHeight="1" x14ac:dyDescent="0.55000000000000004">
      <c r="A27" s="103"/>
      <c r="B27" s="913" t="s">
        <v>2</v>
      </c>
      <c r="C27" s="104" t="s">
        <v>72</v>
      </c>
      <c r="D27" s="118">
        <v>0</v>
      </c>
      <c r="E27" s="106">
        <v>23</v>
      </c>
      <c r="F27" s="107" t="str">
        <f>BEGINBLAD!C27</f>
        <v>leerling 23</v>
      </c>
      <c r="G27" s="108">
        <f>'NIVEAU WAARDE - vorig jaar'!H31</f>
        <v>4.9000000000000004</v>
      </c>
      <c r="H27" s="109">
        <f>'NIVEAU WAARDE - 1e toetsperiode'!H31</f>
        <v>5</v>
      </c>
      <c r="I27" s="110" t="str">
        <f t="shared" si="0"/>
        <v>A-1+</v>
      </c>
      <c r="J27" s="238" t="str">
        <f t="shared" si="1"/>
        <v/>
      </c>
      <c r="K27" s="374" t="s">
        <v>371</v>
      </c>
      <c r="L27" s="373" t="s">
        <v>371</v>
      </c>
      <c r="M27" s="525" t="s">
        <v>370</v>
      </c>
      <c r="N27" s="525"/>
      <c r="O27" s="525"/>
      <c r="P27" s="525"/>
      <c r="Q27" s="375"/>
      <c r="R27" s="238" t="b">
        <f t="shared" si="2"/>
        <v>0</v>
      </c>
      <c r="S27" s="958"/>
      <c r="T27" s="963"/>
      <c r="U27" s="138"/>
      <c r="V27" s="138"/>
      <c r="W27" s="138"/>
      <c r="X27" s="138"/>
      <c r="Y27" s="138"/>
      <c r="Z27" s="138"/>
      <c r="AA27" s="138"/>
    </row>
    <row r="28" spans="1:28" ht="19.5" customHeight="1" x14ac:dyDescent="0.6">
      <c r="A28" s="103"/>
      <c r="B28" s="913"/>
      <c r="C28" s="114" t="s">
        <v>69</v>
      </c>
      <c r="D28" s="118">
        <v>0</v>
      </c>
      <c r="E28" s="106">
        <v>24</v>
      </c>
      <c r="F28" s="107" t="str">
        <f>BEGINBLAD!C28</f>
        <v>leerling 24</v>
      </c>
      <c r="G28" s="108">
        <f>'NIVEAU WAARDE - vorig jaar'!H32</f>
        <v>3.2</v>
      </c>
      <c r="H28" s="109">
        <f>'NIVEAU WAARDE - 1e toetsperiode'!H32</f>
        <v>3.5</v>
      </c>
      <c r="I28" s="110" t="str">
        <f t="shared" si="0"/>
        <v>B-2</v>
      </c>
      <c r="J28" s="238" t="str">
        <f t="shared" si="1"/>
        <v/>
      </c>
      <c r="K28" s="374" t="s">
        <v>371</v>
      </c>
      <c r="L28" s="373" t="s">
        <v>371</v>
      </c>
      <c r="M28" s="525" t="s">
        <v>370</v>
      </c>
      <c r="N28" s="525"/>
      <c r="O28" s="525"/>
      <c r="P28" s="525"/>
      <c r="Q28" s="375"/>
      <c r="R28" s="238" t="b">
        <f t="shared" si="2"/>
        <v>0</v>
      </c>
      <c r="S28" s="958" t="s">
        <v>71</v>
      </c>
      <c r="T28" s="968" t="str">
        <f>'BASISAANPAK - 1e periode'!I8</f>
        <v xml:space="preserve"> - minimaal 1x per week automatiseren naast de methode 
 - begin v.d. rekenles; 5 min. - daarna afmaken in de weektaaktijd
 - met kopieerbladen van ambrasoft &gt;&gt; boekje (5 à 10 minuten)
 -Daarnaast biedt de methode automatiseren aan. Even afwachten of dit voldoende is.</v>
      </c>
      <c r="U28" s="91"/>
      <c r="V28" s="140"/>
      <c r="W28" s="102"/>
      <c r="X28" s="102"/>
      <c r="Y28" s="102"/>
      <c r="Z28" s="102"/>
      <c r="AA28" s="102"/>
    </row>
    <row r="29" spans="1:28" ht="19.5" customHeight="1" x14ac:dyDescent="0.25">
      <c r="A29" s="115"/>
      <c r="B29" s="369"/>
      <c r="C29" s="371"/>
      <c r="D29" s="105">
        <v>0</v>
      </c>
      <c r="E29" s="106">
        <v>25</v>
      </c>
      <c r="F29" s="107" t="str">
        <f>BEGINBLAD!C29</f>
        <v>leerling 25</v>
      </c>
      <c r="G29" s="108">
        <f>'NIVEAU WAARDE - vorig jaar'!H33</f>
        <v>4.0999999999999996</v>
      </c>
      <c r="H29" s="109">
        <f>'NIVEAU WAARDE - 1e toetsperiode'!H33</f>
        <v>4.3</v>
      </c>
      <c r="I29" s="110" t="str">
        <f t="shared" si="0"/>
        <v>A-1</v>
      </c>
      <c r="J29" s="238" t="str">
        <f t="shared" si="1"/>
        <v/>
      </c>
      <c r="K29" s="374" t="s">
        <v>371</v>
      </c>
      <c r="L29" s="373" t="s">
        <v>371</v>
      </c>
      <c r="M29" s="525" t="s">
        <v>371</v>
      </c>
      <c r="N29" s="525"/>
      <c r="O29" s="525"/>
      <c r="P29" s="525"/>
      <c r="Q29" s="375"/>
      <c r="R29" s="238" t="b">
        <f t="shared" si="2"/>
        <v>0</v>
      </c>
      <c r="S29" s="958"/>
      <c r="T29" s="968"/>
      <c r="U29" s="141"/>
      <c r="V29" s="130"/>
      <c r="W29" s="130"/>
      <c r="X29" s="130"/>
      <c r="Y29" s="130"/>
      <c r="Z29" s="130"/>
      <c r="AA29" s="130"/>
    </row>
    <row r="30" spans="1:28" ht="19.5" customHeight="1" x14ac:dyDescent="0.25">
      <c r="A30" s="115"/>
      <c r="B30" s="369"/>
      <c r="C30" s="371"/>
      <c r="D30" s="105">
        <v>0</v>
      </c>
      <c r="E30" s="106">
        <v>26</v>
      </c>
      <c r="F30" s="107" t="str">
        <f>BEGINBLAD!C30</f>
        <v>leerling 26</v>
      </c>
      <c r="G30" s="108">
        <f>'NIVEAU WAARDE - vorig jaar'!H34</f>
        <v>0</v>
      </c>
      <c r="H30" s="109">
        <f>'NIVEAU WAARDE - 1e toetsperiode'!H34</f>
        <v>0</v>
      </c>
      <c r="I30" s="110" t="str">
        <f t="shared" si="0"/>
        <v/>
      </c>
      <c r="J30" s="238" t="str">
        <f t="shared" si="1"/>
        <v/>
      </c>
      <c r="K30" s="374"/>
      <c r="L30" s="373"/>
      <c r="M30" s="525"/>
      <c r="N30" s="525"/>
      <c r="O30" s="525"/>
      <c r="P30" s="525"/>
      <c r="Q30" s="375"/>
      <c r="R30" s="238" t="b">
        <f t="shared" si="2"/>
        <v>0</v>
      </c>
      <c r="S30" s="958"/>
      <c r="T30" s="968"/>
      <c r="U30" s="129"/>
      <c r="V30" s="133"/>
      <c r="W30" s="133"/>
      <c r="X30" s="133"/>
      <c r="Y30" s="133"/>
      <c r="Z30" s="133"/>
      <c r="AA30" s="133"/>
    </row>
    <row r="31" spans="1:28" ht="19.5" customHeight="1" x14ac:dyDescent="0.25">
      <c r="A31" s="115"/>
      <c r="B31" s="369"/>
      <c r="C31" s="371"/>
      <c r="D31" s="105">
        <v>0</v>
      </c>
      <c r="E31" s="106">
        <v>27</v>
      </c>
      <c r="F31" s="107">
        <f>BEGINBLAD!C31</f>
        <v>0</v>
      </c>
      <c r="G31" s="108">
        <f>'NIVEAU WAARDE - vorig jaar'!H35</f>
        <v>0</v>
      </c>
      <c r="H31" s="109">
        <f>'NIVEAU WAARDE - 1e toetsperiode'!H35</f>
        <v>0</v>
      </c>
      <c r="I31" s="110" t="str">
        <f t="shared" si="0"/>
        <v/>
      </c>
      <c r="J31" s="238" t="str">
        <f t="shared" si="1"/>
        <v/>
      </c>
      <c r="K31" s="374"/>
      <c r="L31" s="373"/>
      <c r="M31" s="525"/>
      <c r="N31" s="525"/>
      <c r="O31" s="525"/>
      <c r="P31" s="525"/>
      <c r="Q31" s="375"/>
      <c r="R31" s="238" t="b">
        <f t="shared" si="2"/>
        <v>0</v>
      </c>
      <c r="S31" s="958"/>
      <c r="T31" s="968"/>
      <c r="U31" s="129"/>
      <c r="V31" s="133"/>
      <c r="W31" s="133"/>
      <c r="X31" s="133"/>
      <c r="Y31" s="133"/>
      <c r="Z31" s="133"/>
      <c r="AA31" s="133"/>
    </row>
    <row r="32" spans="1:28" ht="19.5" customHeight="1" x14ac:dyDescent="0.25">
      <c r="A32" s="115"/>
      <c r="B32" s="369"/>
      <c r="C32" s="371"/>
      <c r="D32" s="105">
        <v>0</v>
      </c>
      <c r="E32" s="106">
        <v>28</v>
      </c>
      <c r="F32" s="107">
        <f>BEGINBLAD!C32</f>
        <v>0</v>
      </c>
      <c r="G32" s="108">
        <f>'NIVEAU WAARDE - vorig jaar'!H36</f>
        <v>0</v>
      </c>
      <c r="H32" s="109">
        <f>'NIVEAU WAARDE - 1e toetsperiode'!H36</f>
        <v>0</v>
      </c>
      <c r="I32" s="110" t="str">
        <f t="shared" si="0"/>
        <v/>
      </c>
      <c r="J32" s="238" t="str">
        <f t="shared" si="1"/>
        <v/>
      </c>
      <c r="K32" s="374"/>
      <c r="L32" s="373"/>
      <c r="M32" s="525"/>
      <c r="N32" s="525"/>
      <c r="O32" s="525"/>
      <c r="P32" s="525"/>
      <c r="Q32" s="375"/>
      <c r="R32" s="238" t="b">
        <f t="shared" si="2"/>
        <v>0</v>
      </c>
      <c r="S32" s="958"/>
      <c r="T32" s="968"/>
      <c r="U32" s="129"/>
      <c r="V32" s="133"/>
      <c r="W32" s="133"/>
      <c r="X32" s="133"/>
      <c r="Y32" s="133"/>
      <c r="Z32" s="133"/>
      <c r="AA32" s="133"/>
    </row>
    <row r="33" spans="1:31" ht="19.5" customHeight="1" x14ac:dyDescent="0.25">
      <c r="A33" s="115"/>
      <c r="B33" s="369"/>
      <c r="C33" s="371"/>
      <c r="D33" s="105">
        <v>0</v>
      </c>
      <c r="E33" s="106">
        <v>29</v>
      </c>
      <c r="F33" s="107">
        <f>BEGINBLAD!C33</f>
        <v>0</v>
      </c>
      <c r="G33" s="108">
        <f>'NIVEAU WAARDE - vorig jaar'!H37</f>
        <v>0</v>
      </c>
      <c r="H33" s="109">
        <f>'NIVEAU WAARDE - 1e toetsperiode'!H37</f>
        <v>0</v>
      </c>
      <c r="I33" s="110" t="str">
        <f t="shared" si="0"/>
        <v/>
      </c>
      <c r="J33" s="238" t="str">
        <f t="shared" si="1"/>
        <v/>
      </c>
      <c r="K33" s="374"/>
      <c r="L33" s="373"/>
      <c r="M33" s="525"/>
      <c r="N33" s="525"/>
      <c r="O33" s="525"/>
      <c r="P33" s="525"/>
      <c r="Q33" s="375"/>
      <c r="R33" s="238" t="b">
        <f t="shared" si="2"/>
        <v>0</v>
      </c>
      <c r="S33" s="958"/>
      <c r="T33" s="968"/>
      <c r="U33" s="129"/>
      <c r="V33" s="133"/>
      <c r="W33" s="133"/>
      <c r="X33" s="133"/>
      <c r="Y33" s="133"/>
      <c r="Z33" s="133"/>
      <c r="AA33" s="133"/>
    </row>
    <row r="34" spans="1:31" ht="19.5" customHeight="1" x14ac:dyDescent="0.25">
      <c r="A34" s="115"/>
      <c r="B34" s="369"/>
      <c r="C34" s="371"/>
      <c r="D34" s="105">
        <v>0</v>
      </c>
      <c r="E34" s="106">
        <v>30</v>
      </c>
      <c r="F34" s="107">
        <f>BEGINBLAD!C34</f>
        <v>0</v>
      </c>
      <c r="G34" s="108">
        <f>'NIVEAU WAARDE - vorig jaar'!H38</f>
        <v>0</v>
      </c>
      <c r="H34" s="109">
        <f>'NIVEAU WAARDE - 1e toetsperiode'!H38</f>
        <v>0</v>
      </c>
      <c r="I34" s="110" t="str">
        <f t="shared" si="0"/>
        <v/>
      </c>
      <c r="J34" s="238" t="str">
        <f t="shared" si="1"/>
        <v/>
      </c>
      <c r="K34" s="251"/>
      <c r="L34" s="252"/>
      <c r="M34" s="526"/>
      <c r="N34" s="526"/>
      <c r="O34" s="526"/>
      <c r="P34" s="526"/>
      <c r="Q34" s="253"/>
      <c r="R34" s="238" t="b">
        <f t="shared" si="2"/>
        <v>0</v>
      </c>
      <c r="S34" s="958"/>
      <c r="T34" s="968"/>
      <c r="U34" s="129"/>
      <c r="V34" s="133"/>
      <c r="W34" s="133"/>
      <c r="X34" s="133"/>
      <c r="Y34" s="133"/>
      <c r="Z34" s="133"/>
      <c r="AA34" s="133"/>
    </row>
    <row r="35" spans="1:31" ht="19.5" customHeight="1" thickBot="1" x14ac:dyDescent="0.3">
      <c r="A35" s="115"/>
      <c r="B35" s="116"/>
      <c r="C35" s="117"/>
      <c r="D35" s="105">
        <v>0</v>
      </c>
      <c r="E35" s="106">
        <v>31</v>
      </c>
      <c r="F35" s="107">
        <f>BEGINBLAD!C35</f>
        <v>0</v>
      </c>
      <c r="G35" s="108">
        <f>'NIVEAU WAARDE - vorig jaar'!H39</f>
        <v>0</v>
      </c>
      <c r="H35" s="109">
        <f>'NIVEAU WAARDE - 1e toetsperiode'!H39</f>
        <v>0</v>
      </c>
      <c r="I35" s="110" t="str">
        <f t="shared" si="0"/>
        <v/>
      </c>
      <c r="J35" s="238" t="str">
        <f t="shared" si="1"/>
        <v/>
      </c>
      <c r="K35" s="251"/>
      <c r="L35" s="252"/>
      <c r="M35" s="526"/>
      <c r="N35" s="526"/>
      <c r="O35" s="526"/>
      <c r="P35" s="526"/>
      <c r="Q35" s="253"/>
      <c r="R35" s="238" t="b">
        <f t="shared" si="2"/>
        <v>0</v>
      </c>
      <c r="S35" s="959"/>
      <c r="T35" s="969"/>
      <c r="U35" s="129"/>
      <c r="V35" s="133"/>
      <c r="W35" s="133"/>
      <c r="X35" s="133"/>
      <c r="Y35" s="133"/>
      <c r="Z35" s="133"/>
      <c r="AA35" s="133"/>
    </row>
    <row r="36" spans="1:31" ht="19.5" customHeight="1" thickBot="1" x14ac:dyDescent="0.3">
      <c r="A36" s="115"/>
      <c r="B36" s="116"/>
      <c r="C36" s="117"/>
      <c r="D36" s="105">
        <v>0</v>
      </c>
      <c r="E36" s="106">
        <v>32</v>
      </c>
      <c r="F36" s="107">
        <f>BEGINBLAD!C36</f>
        <v>0</v>
      </c>
      <c r="G36" s="108">
        <f>'NIVEAU WAARDE - vorig jaar'!H40</f>
        <v>0</v>
      </c>
      <c r="H36" s="109">
        <f>'NIVEAU WAARDE - 1e toetsperiode'!H40</f>
        <v>0</v>
      </c>
      <c r="I36" s="110" t="str">
        <f t="shared" si="0"/>
        <v/>
      </c>
      <c r="J36" s="238" t="str">
        <f t="shared" si="1"/>
        <v/>
      </c>
      <c r="K36" s="251"/>
      <c r="L36" s="252"/>
      <c r="M36" s="526"/>
      <c r="N36" s="526"/>
      <c r="O36" s="526"/>
      <c r="P36" s="526"/>
      <c r="Q36" s="253"/>
      <c r="R36" s="238" t="b">
        <f t="shared" si="2"/>
        <v>0</v>
      </c>
      <c r="S36" s="120"/>
      <c r="T36" s="126" t="s">
        <v>12</v>
      </c>
      <c r="U36" s="129"/>
      <c r="V36" s="133"/>
      <c r="W36" s="133"/>
      <c r="X36" s="133"/>
      <c r="Y36" s="133"/>
      <c r="Z36" s="133"/>
      <c r="AA36" s="133"/>
    </row>
    <row r="37" spans="1:31" ht="19.5" customHeight="1" x14ac:dyDescent="0.25">
      <c r="A37" s="115"/>
      <c r="B37" s="116"/>
      <c r="C37" s="117"/>
      <c r="D37" s="105">
        <v>0</v>
      </c>
      <c r="E37" s="106">
        <v>33</v>
      </c>
      <c r="F37" s="107">
        <f>BEGINBLAD!C37</f>
        <v>0</v>
      </c>
      <c r="G37" s="108">
        <f>'NIVEAU WAARDE - vorig jaar'!H41</f>
        <v>0</v>
      </c>
      <c r="H37" s="109">
        <f>'NIVEAU WAARDE - 1e toetsperiode'!H41</f>
        <v>0</v>
      </c>
      <c r="I37" s="110" t="str">
        <f t="shared" si="0"/>
        <v/>
      </c>
      <c r="J37" s="238" t="str">
        <f t="shared" si="1"/>
        <v/>
      </c>
      <c r="K37" s="251"/>
      <c r="L37" s="252"/>
      <c r="M37" s="526"/>
      <c r="N37" s="526"/>
      <c r="O37" s="526"/>
      <c r="P37" s="526"/>
      <c r="Q37" s="253"/>
      <c r="R37" s="238" t="b">
        <f t="shared" si="2"/>
        <v>0</v>
      </c>
      <c r="S37" s="957" t="s">
        <v>70</v>
      </c>
      <c r="T37" s="962">
        <f>'VERRIJKT - 1e periode'!I6</f>
        <v>0</v>
      </c>
      <c r="U37" s="129"/>
      <c r="V37" s="133"/>
      <c r="W37" s="133"/>
      <c r="X37" s="133"/>
      <c r="Y37" s="133"/>
      <c r="Z37" s="133"/>
      <c r="AA37" s="133"/>
    </row>
    <row r="38" spans="1:31" ht="19.5" customHeight="1" x14ac:dyDescent="0.25">
      <c r="A38" s="115"/>
      <c r="B38" s="116"/>
      <c r="C38" s="117"/>
      <c r="D38" s="105">
        <v>0</v>
      </c>
      <c r="E38" s="106">
        <v>34</v>
      </c>
      <c r="F38" s="107">
        <f>BEGINBLAD!C38</f>
        <v>0</v>
      </c>
      <c r="G38" s="108">
        <f>'NIVEAU WAARDE - vorig jaar'!H42</f>
        <v>0</v>
      </c>
      <c r="H38" s="109">
        <f>'NIVEAU WAARDE - 1e toetsperiode'!H42</f>
        <v>0</v>
      </c>
      <c r="I38" s="110" t="str">
        <f t="shared" si="0"/>
        <v/>
      </c>
      <c r="J38" s="238" t="str">
        <f t="shared" si="1"/>
        <v/>
      </c>
      <c r="K38" s="251"/>
      <c r="L38" s="252"/>
      <c r="M38" s="526"/>
      <c r="N38" s="526"/>
      <c r="O38" s="526"/>
      <c r="P38" s="526"/>
      <c r="Q38" s="253"/>
      <c r="R38" s="238" t="b">
        <f t="shared" si="2"/>
        <v>0</v>
      </c>
      <c r="S38" s="958"/>
      <c r="T38" s="963"/>
      <c r="U38" s="129"/>
      <c r="V38" s="133"/>
      <c r="W38" s="133"/>
      <c r="X38" s="133"/>
      <c r="Y38" s="133"/>
      <c r="Z38" s="133"/>
      <c r="AA38" s="133"/>
    </row>
    <row r="39" spans="1:31" ht="19.5" customHeight="1" x14ac:dyDescent="0.25">
      <c r="A39" s="115"/>
      <c r="B39" s="116"/>
      <c r="C39" s="117"/>
      <c r="D39" s="105">
        <v>0</v>
      </c>
      <c r="E39" s="106">
        <v>35</v>
      </c>
      <c r="F39" s="107">
        <f>BEGINBLAD!C39</f>
        <v>0</v>
      </c>
      <c r="G39" s="108">
        <f>'NIVEAU WAARDE - vorig jaar'!H43</f>
        <v>0</v>
      </c>
      <c r="H39" s="109">
        <f>'NIVEAU WAARDE - 1e toetsperiode'!H43</f>
        <v>0</v>
      </c>
      <c r="I39" s="110" t="str">
        <f t="shared" si="0"/>
        <v/>
      </c>
      <c r="J39" s="238" t="str">
        <f t="shared" si="1"/>
        <v/>
      </c>
      <c r="K39" s="251"/>
      <c r="L39" s="252"/>
      <c r="M39" s="526"/>
      <c r="N39" s="526"/>
      <c r="O39" s="526"/>
      <c r="P39" s="526"/>
      <c r="Q39" s="253"/>
      <c r="R39" s="238" t="b">
        <f t="shared" si="2"/>
        <v>0</v>
      </c>
      <c r="S39" s="958" t="s">
        <v>71</v>
      </c>
      <c r="T39" s="955">
        <f>'VERRIJKT - 1e periode'!I8</f>
        <v>0</v>
      </c>
      <c r="U39" s="129"/>
      <c r="V39" s="133"/>
      <c r="W39" s="133"/>
      <c r="X39" s="133"/>
      <c r="Y39" s="133"/>
      <c r="Z39" s="133"/>
      <c r="AA39" s="133"/>
    </row>
    <row r="40" spans="1:31" s="103" customFormat="1" ht="19.5" customHeight="1" thickBot="1" x14ac:dyDescent="0.3">
      <c r="A40" s="115"/>
      <c r="B40" s="116"/>
      <c r="C40" s="117"/>
      <c r="D40" s="105">
        <v>0</v>
      </c>
      <c r="E40" s="142">
        <v>36</v>
      </c>
      <c r="F40" s="143">
        <f>BEGINBLAD!C40</f>
        <v>0</v>
      </c>
      <c r="G40" s="144">
        <f>'NIVEAU WAARDE - vorig jaar'!H44</f>
        <v>0</v>
      </c>
      <c r="H40" s="145">
        <f>'NIVEAU WAARDE - 1e toetsperiode'!H44</f>
        <v>0</v>
      </c>
      <c r="I40" s="146" t="str">
        <f t="shared" si="0"/>
        <v/>
      </c>
      <c r="J40" s="238" t="str">
        <f t="shared" si="1"/>
        <v/>
      </c>
      <c r="K40" s="376"/>
      <c r="L40" s="256"/>
      <c r="M40" s="527"/>
      <c r="N40" s="527"/>
      <c r="O40" s="527"/>
      <c r="P40" s="527"/>
      <c r="Q40" s="257"/>
      <c r="R40" s="238" t="b">
        <f t="shared" si="2"/>
        <v>0</v>
      </c>
      <c r="S40" s="958"/>
      <c r="T40" s="955"/>
      <c r="U40" s="129"/>
      <c r="V40" s="133"/>
      <c r="W40" s="133"/>
      <c r="X40" s="133"/>
      <c r="Y40" s="133"/>
      <c r="Z40" s="133"/>
      <c r="AA40" s="133"/>
      <c r="AB40" s="127"/>
      <c r="AC40" s="127"/>
      <c r="AD40" s="127"/>
      <c r="AE40" s="127"/>
    </row>
    <row r="41" spans="1:31" ht="19.5" customHeight="1" thickBot="1" x14ac:dyDescent="0.35">
      <c r="A41" s="148"/>
      <c r="B41" s="149"/>
      <c r="C41" s="970" t="s">
        <v>13</v>
      </c>
      <c r="D41" s="970"/>
      <c r="E41" s="970"/>
      <c r="F41" s="970"/>
      <c r="G41" s="971" t="s">
        <v>12</v>
      </c>
      <c r="H41" s="971"/>
      <c r="I41" s="971"/>
      <c r="J41" s="971"/>
      <c r="K41" s="971"/>
      <c r="L41" s="971"/>
      <c r="M41" s="971"/>
      <c r="N41" s="971"/>
      <c r="O41" s="971"/>
      <c r="P41" s="971"/>
      <c r="Q41" s="971"/>
      <c r="S41" s="958"/>
      <c r="T41" s="955"/>
      <c r="U41" s="129"/>
      <c r="V41" s="150"/>
      <c r="W41" s="150"/>
      <c r="X41" s="150"/>
      <c r="Y41" s="150"/>
      <c r="Z41" s="150"/>
      <c r="AA41" s="150"/>
    </row>
    <row r="42" spans="1:31" ht="19.5" customHeight="1" x14ac:dyDescent="0.25">
      <c r="A42" s="129"/>
      <c r="B42" s="169"/>
      <c r="C42" s="176" t="s">
        <v>73</v>
      </c>
      <c r="D42" s="972"/>
      <c r="E42" s="973"/>
      <c r="F42" s="974"/>
      <c r="G42" s="975" t="s">
        <v>73</v>
      </c>
      <c r="H42" s="976"/>
      <c r="I42" s="986"/>
      <c r="J42" s="987"/>
      <c r="K42" s="987"/>
      <c r="L42" s="987"/>
      <c r="M42" s="987"/>
      <c r="N42" s="987"/>
      <c r="O42" s="987"/>
      <c r="P42" s="987"/>
      <c r="Q42" s="988"/>
      <c r="S42" s="958"/>
      <c r="T42" s="955"/>
      <c r="U42" s="129"/>
      <c r="V42" s="150"/>
      <c r="W42" s="150"/>
      <c r="X42" s="150"/>
      <c r="Y42" s="150"/>
      <c r="Z42" s="150"/>
      <c r="AA42" s="150"/>
    </row>
    <row r="43" spans="1:31" ht="19.5" customHeight="1" x14ac:dyDescent="0.25">
      <c r="A43" s="129"/>
      <c r="B43" s="170"/>
      <c r="C43" s="177" t="s">
        <v>74</v>
      </c>
      <c r="D43" s="977"/>
      <c r="E43" s="978"/>
      <c r="F43" s="979"/>
      <c r="G43" s="980" t="s">
        <v>74</v>
      </c>
      <c r="H43" s="981"/>
      <c r="I43" s="982"/>
      <c r="J43" s="983"/>
      <c r="K43" s="983"/>
      <c r="L43" s="983"/>
      <c r="M43" s="983"/>
      <c r="N43" s="983"/>
      <c r="O43" s="983"/>
      <c r="P43" s="983"/>
      <c r="Q43" s="984"/>
      <c r="S43" s="958"/>
      <c r="T43" s="955"/>
      <c r="U43" s="129"/>
      <c r="V43" s="150"/>
      <c r="W43" s="150"/>
      <c r="X43" s="150"/>
      <c r="Y43" s="150"/>
      <c r="Z43" s="150"/>
      <c r="AA43" s="150"/>
    </row>
    <row r="44" spans="1:31" ht="19.5" customHeight="1" x14ac:dyDescent="0.25">
      <c r="A44" s="129"/>
      <c r="B44" s="170"/>
      <c r="C44" s="177" t="s">
        <v>75</v>
      </c>
      <c r="D44" s="977"/>
      <c r="E44" s="978"/>
      <c r="F44" s="979"/>
      <c r="G44" s="980" t="s">
        <v>75</v>
      </c>
      <c r="H44" s="981"/>
      <c r="I44" s="982"/>
      <c r="J44" s="983"/>
      <c r="K44" s="983"/>
      <c r="L44" s="983"/>
      <c r="M44" s="983"/>
      <c r="N44" s="983"/>
      <c r="O44" s="983"/>
      <c r="P44" s="983"/>
      <c r="Q44" s="984"/>
      <c r="S44" s="958"/>
      <c r="T44" s="955"/>
      <c r="U44" s="129"/>
      <c r="V44" s="150"/>
      <c r="W44" s="150"/>
      <c r="X44" s="150"/>
      <c r="Y44" s="150"/>
      <c r="Z44" s="150"/>
      <c r="AA44" s="150"/>
    </row>
    <row r="45" spans="1:31" ht="19.5" customHeight="1" x14ac:dyDescent="0.25">
      <c r="A45" s="129"/>
      <c r="B45" s="170"/>
      <c r="C45" s="177" t="s">
        <v>76</v>
      </c>
      <c r="D45" s="977"/>
      <c r="E45" s="978"/>
      <c r="F45" s="979"/>
      <c r="G45" s="980" t="s">
        <v>76</v>
      </c>
      <c r="H45" s="981"/>
      <c r="I45" s="982"/>
      <c r="J45" s="983"/>
      <c r="K45" s="983"/>
      <c r="L45" s="983"/>
      <c r="M45" s="983"/>
      <c r="N45" s="983"/>
      <c r="O45" s="983"/>
      <c r="P45" s="983"/>
      <c r="Q45" s="984"/>
      <c r="S45" s="958"/>
      <c r="T45" s="955"/>
      <c r="U45" s="129"/>
      <c r="V45" s="150"/>
      <c r="W45" s="150"/>
      <c r="X45" s="150"/>
      <c r="Y45" s="150"/>
      <c r="Z45" s="150"/>
      <c r="AA45" s="150"/>
    </row>
    <row r="46" spans="1:31" ht="19.5" customHeight="1" thickBot="1" x14ac:dyDescent="0.3">
      <c r="A46" s="129"/>
      <c r="B46" s="170"/>
      <c r="C46" s="178" t="s">
        <v>77</v>
      </c>
      <c r="D46" s="989"/>
      <c r="E46" s="990"/>
      <c r="F46" s="991"/>
      <c r="G46" s="992" t="s">
        <v>77</v>
      </c>
      <c r="H46" s="993"/>
      <c r="I46" s="994"/>
      <c r="J46" s="995"/>
      <c r="K46" s="995"/>
      <c r="L46" s="995"/>
      <c r="M46" s="995"/>
      <c r="N46" s="995"/>
      <c r="O46" s="995"/>
      <c r="P46" s="995"/>
      <c r="Q46" s="996"/>
      <c r="S46" s="959"/>
      <c r="T46" s="956"/>
      <c r="U46" s="129"/>
      <c r="V46" s="133"/>
      <c r="W46" s="133"/>
      <c r="X46" s="133"/>
      <c r="Y46" s="133"/>
      <c r="Z46" s="133"/>
      <c r="AA46" s="133"/>
    </row>
    <row r="47" spans="1:31" x14ac:dyDescent="0.25">
      <c r="B47" s="151"/>
      <c r="C47" s="156"/>
      <c r="D47" s="466"/>
      <c r="E47" s="467"/>
      <c r="F47" s="467"/>
      <c r="G47" s="467"/>
      <c r="H47" s="200"/>
      <c r="I47" s="153"/>
      <c r="J47" s="153"/>
      <c r="K47" s="1001" t="s">
        <v>7</v>
      </c>
      <c r="L47" s="1001"/>
      <c r="M47" s="1001"/>
      <c r="N47" s="1001"/>
      <c r="O47" s="1001"/>
      <c r="P47" s="1001"/>
      <c r="Q47" s="1001"/>
      <c r="R47" s="152"/>
      <c r="S47" s="161"/>
      <c r="T47" s="161"/>
      <c r="U47" s="129"/>
      <c r="V47" s="133"/>
      <c r="W47" s="133"/>
      <c r="X47" s="133"/>
      <c r="Y47" s="133"/>
      <c r="Z47" s="133"/>
      <c r="AA47" s="133"/>
    </row>
    <row r="48" spans="1:31" x14ac:dyDescent="0.25">
      <c r="B48" s="171"/>
      <c r="C48" s="164"/>
      <c r="D48" s="212">
        <f>BEGINBLAD!$D$41</f>
        <v>26</v>
      </c>
      <c r="E48" s="202"/>
      <c r="F48" s="203" t="s">
        <v>78</v>
      </c>
      <c r="G48" s="211">
        <f>H48/$D$49</f>
        <v>0.08</v>
      </c>
      <c r="H48" s="124">
        <f>COUNTIF($I$5:$I$40,"A-1+")</f>
        <v>2</v>
      </c>
      <c r="I48" s="124"/>
      <c r="J48" s="201" t="s">
        <v>79</v>
      </c>
      <c r="K48" s="201"/>
      <c r="L48" s="201"/>
      <c r="M48" s="201"/>
      <c r="N48" s="201"/>
      <c r="O48" s="201"/>
      <c r="P48" s="201"/>
      <c r="Q48" s="227">
        <f>G48+G49+G50+G51+G52</f>
        <v>0.76</v>
      </c>
      <c r="R48" s="227">
        <v>1</v>
      </c>
      <c r="S48" s="228"/>
      <c r="T48" s="152"/>
      <c r="U48" s="129"/>
      <c r="V48" s="133"/>
      <c r="W48" s="133"/>
      <c r="X48" s="133"/>
      <c r="Y48" s="133"/>
      <c r="Z48" s="133"/>
      <c r="AA48" s="133"/>
    </row>
    <row r="49" spans="2:27" x14ac:dyDescent="0.25">
      <c r="B49" s="171"/>
      <c r="C49" s="164"/>
      <c r="D49" s="208">
        <f>COUNTIF(H5:H40,"&gt;0")</f>
        <v>25</v>
      </c>
      <c r="E49" s="202"/>
      <c r="F49" s="203" t="s">
        <v>80</v>
      </c>
      <c r="G49" s="211">
        <f>H49/$D$49</f>
        <v>0.28000000000000003</v>
      </c>
      <c r="H49" s="124">
        <f>COUNTIF($I$5:$I$40,"A-1")</f>
        <v>7</v>
      </c>
      <c r="I49" s="124"/>
      <c r="J49" s="201"/>
      <c r="K49" s="201"/>
      <c r="L49" s="201"/>
      <c r="M49" s="201"/>
      <c r="N49" s="201"/>
      <c r="O49" s="201"/>
      <c r="P49" s="201"/>
      <c r="Q49" s="227"/>
      <c r="R49" s="227">
        <v>0.7</v>
      </c>
      <c r="S49" s="229"/>
      <c r="T49" s="163"/>
      <c r="U49" s="129"/>
      <c r="V49" s="133"/>
      <c r="W49" s="133"/>
      <c r="X49" s="133"/>
      <c r="Y49" s="133"/>
      <c r="Z49" s="133"/>
      <c r="AA49" s="133"/>
    </row>
    <row r="50" spans="2:27" x14ac:dyDescent="0.25">
      <c r="B50" s="171"/>
      <c r="C50" s="164"/>
      <c r="D50" s="204"/>
      <c r="E50" s="202"/>
      <c r="F50" s="205" t="s">
        <v>81</v>
      </c>
      <c r="G50" s="211">
        <f>(H50+I50)/$D$49</f>
        <v>0.2</v>
      </c>
      <c r="H50" s="124">
        <f>COUNTIF($I$5:$I$40,"A-2")</f>
        <v>0</v>
      </c>
      <c r="I50" s="124">
        <f>COUNTIF($I$5:$I$40,"B-2")</f>
        <v>5</v>
      </c>
      <c r="J50" s="201"/>
      <c r="K50" s="201"/>
      <c r="L50" s="201"/>
      <c r="M50" s="201"/>
      <c r="N50" s="201"/>
      <c r="O50" s="201"/>
      <c r="P50" s="201"/>
      <c r="Q50" s="227"/>
      <c r="R50" s="227">
        <v>0.6</v>
      </c>
      <c r="S50" s="229"/>
      <c r="T50" s="163"/>
      <c r="U50" s="129"/>
      <c r="V50" s="133"/>
      <c r="W50" s="133"/>
      <c r="X50" s="133"/>
      <c r="Y50" s="133"/>
      <c r="Z50" s="133"/>
      <c r="AA50" s="133"/>
    </row>
    <row r="51" spans="2:27" x14ac:dyDescent="0.25">
      <c r="B51" s="171"/>
      <c r="C51" s="164"/>
      <c r="D51" s="204"/>
      <c r="E51" s="202"/>
      <c r="F51" s="203" t="s">
        <v>82</v>
      </c>
      <c r="G51" s="211">
        <f>H51/$D$49</f>
        <v>0.08</v>
      </c>
      <c r="H51" s="124">
        <f>COUNTIF($I$5:$I$40,"B-3")</f>
        <v>2</v>
      </c>
      <c r="I51" s="124"/>
      <c r="J51" s="201"/>
      <c r="K51" s="201"/>
      <c r="L51" s="201"/>
      <c r="M51" s="201"/>
      <c r="N51" s="201"/>
      <c r="O51" s="201"/>
      <c r="P51" s="201"/>
      <c r="Q51" s="227"/>
      <c r="R51" s="227">
        <f>$Q$48</f>
        <v>0.76</v>
      </c>
      <c r="S51" s="229"/>
      <c r="T51" s="163"/>
      <c r="U51" s="129"/>
      <c r="V51" s="133"/>
      <c r="W51" s="133"/>
      <c r="X51" s="133"/>
      <c r="Y51" s="133"/>
      <c r="Z51" s="133"/>
      <c r="AA51" s="133"/>
    </row>
    <row r="52" spans="2:27" x14ac:dyDescent="0.25">
      <c r="B52" s="171"/>
      <c r="C52" s="164"/>
      <c r="D52" s="204"/>
      <c r="E52" s="202"/>
      <c r="F52" s="203" t="s">
        <v>83</v>
      </c>
      <c r="G52" s="211">
        <f>H52/$D$49</f>
        <v>0.12</v>
      </c>
      <c r="H52" s="124">
        <f>COUNTIF($I$5:$I$40,"c-3")</f>
        <v>3</v>
      </c>
      <c r="I52" s="124"/>
      <c r="J52" s="201" t="s">
        <v>84</v>
      </c>
      <c r="K52" s="201"/>
      <c r="L52" s="201"/>
      <c r="M52" s="201"/>
      <c r="N52" s="201"/>
      <c r="O52" s="201"/>
      <c r="P52" s="201"/>
      <c r="Q52" s="227">
        <f>G53+G54+G55+G57</f>
        <v>0.24</v>
      </c>
      <c r="R52" s="230"/>
      <c r="S52" s="229"/>
      <c r="T52" s="163"/>
      <c r="U52" s="129"/>
      <c r="V52" s="133"/>
      <c r="W52" s="133"/>
      <c r="X52" s="133"/>
      <c r="Y52" s="133"/>
      <c r="Z52" s="133"/>
      <c r="AA52" s="133"/>
    </row>
    <row r="53" spans="2:27" x14ac:dyDescent="0.25">
      <c r="B53" s="171"/>
      <c r="C53" s="164"/>
      <c r="D53" s="204"/>
      <c r="E53" s="202"/>
      <c r="F53" s="205" t="s">
        <v>85</v>
      </c>
      <c r="G53" s="211">
        <f>H53/$D$49</f>
        <v>0.12</v>
      </c>
      <c r="H53" s="124">
        <f>COUNTIF($I$5:$I$40,"c-4")</f>
        <v>3</v>
      </c>
      <c r="I53" s="212"/>
      <c r="J53" s="201"/>
      <c r="K53" s="201"/>
      <c r="L53" s="201"/>
      <c r="M53" s="201"/>
      <c r="N53" s="201"/>
      <c r="O53" s="201"/>
      <c r="P53" s="201"/>
      <c r="Q53" s="227"/>
      <c r="R53" s="230"/>
      <c r="S53" s="229"/>
      <c r="T53" s="163"/>
      <c r="U53" s="129"/>
      <c r="V53" s="133"/>
      <c r="W53" s="133"/>
      <c r="X53" s="133"/>
      <c r="Y53" s="133"/>
      <c r="Z53" s="133"/>
      <c r="AA53" s="133"/>
    </row>
    <row r="54" spans="2:27" x14ac:dyDescent="0.25">
      <c r="B54" s="171"/>
      <c r="C54" s="164"/>
      <c r="D54" s="204"/>
      <c r="E54" s="202"/>
      <c r="F54" s="202" t="s">
        <v>86</v>
      </c>
      <c r="G54" s="211">
        <f>H54/$D$49</f>
        <v>0.04</v>
      </c>
      <c r="H54" s="124">
        <f>COUNTIF($I$5:$I$40,"d-4")</f>
        <v>1</v>
      </c>
      <c r="I54" s="212"/>
      <c r="J54" s="201"/>
      <c r="K54" s="201"/>
      <c r="L54" s="201"/>
      <c r="M54" s="201"/>
      <c r="N54" s="201"/>
      <c r="O54" s="201"/>
      <c r="P54" s="201"/>
      <c r="Q54" s="227"/>
      <c r="R54" s="230"/>
      <c r="S54" s="229"/>
      <c r="T54" s="163"/>
      <c r="U54" s="129"/>
      <c r="V54" s="133"/>
      <c r="W54" s="133"/>
      <c r="X54" s="133"/>
      <c r="Y54" s="133"/>
      <c r="Z54" s="133"/>
      <c r="AA54" s="133"/>
    </row>
    <row r="55" spans="2:27" x14ac:dyDescent="0.25">
      <c r="B55" s="171"/>
      <c r="C55" s="164"/>
      <c r="D55" s="204"/>
      <c r="E55" s="202"/>
      <c r="F55" s="203" t="s">
        <v>87</v>
      </c>
      <c r="G55" s="211">
        <f>(H55+I55)/$D$49</f>
        <v>0.08</v>
      </c>
      <c r="H55" s="124">
        <f>COUNTIF($I$5:$I$40,"d-5")</f>
        <v>1</v>
      </c>
      <c r="I55" s="124">
        <f>COUNTIF($I$5:$I$40,"e-5")</f>
        <v>1</v>
      </c>
      <c r="J55" s="201"/>
      <c r="K55" s="201"/>
      <c r="L55" s="201"/>
      <c r="M55" s="201"/>
      <c r="N55" s="201"/>
      <c r="O55" s="201"/>
      <c r="P55" s="201"/>
      <c r="Q55" s="227"/>
      <c r="R55" s="230"/>
      <c r="S55" s="229"/>
      <c r="T55" s="163"/>
      <c r="U55" s="129"/>
      <c r="V55" s="133"/>
      <c r="W55" s="133"/>
      <c r="X55" s="133"/>
      <c r="Y55" s="133"/>
      <c r="Z55" s="133"/>
      <c r="AA55" s="133"/>
    </row>
    <row r="56" spans="2:27" x14ac:dyDescent="0.25">
      <c r="B56" s="171"/>
      <c r="C56" s="164"/>
      <c r="D56" s="204"/>
      <c r="E56" s="202"/>
      <c r="F56" s="203"/>
      <c r="G56" s="211"/>
      <c r="H56" s="124"/>
      <c r="I56" s="124"/>
      <c r="J56" s="201" t="s">
        <v>0</v>
      </c>
      <c r="K56" s="201"/>
      <c r="L56" s="201"/>
      <c r="M56" s="201"/>
      <c r="N56" s="201"/>
      <c r="O56" s="201"/>
      <c r="P56" s="201"/>
      <c r="Q56" s="227">
        <f>Q48+Q52</f>
        <v>1</v>
      </c>
      <c r="R56" s="845"/>
      <c r="S56" s="229"/>
      <c r="T56" s="163"/>
      <c r="U56" s="129"/>
      <c r="V56" s="133"/>
      <c r="W56" s="133"/>
      <c r="X56" s="133"/>
      <c r="Y56" s="133"/>
      <c r="Z56" s="133"/>
      <c r="AA56" s="133"/>
    </row>
    <row r="57" spans="2:27" x14ac:dyDescent="0.25">
      <c r="B57" s="171"/>
      <c r="C57" s="164"/>
      <c r="D57" s="204"/>
      <c r="E57" s="202"/>
      <c r="F57" s="206" t="s">
        <v>88</v>
      </c>
      <c r="G57" s="211">
        <f>H57/$D$49</f>
        <v>0</v>
      </c>
      <c r="H57" s="124">
        <f>COUNTIF($I$5:$I$40,"e-5-")</f>
        <v>0</v>
      </c>
      <c r="I57" s="124"/>
      <c r="J57" s="201"/>
      <c r="K57" s="201"/>
      <c r="L57" s="201"/>
      <c r="M57" s="201"/>
      <c r="N57" s="201"/>
      <c r="O57" s="201"/>
      <c r="P57" s="201"/>
      <c r="Q57" s="227"/>
      <c r="R57" s="845"/>
      <c r="S57" s="229"/>
      <c r="T57" s="163"/>
      <c r="U57" s="129"/>
      <c r="V57" s="133"/>
      <c r="W57" s="133"/>
      <c r="X57" s="133"/>
      <c r="Y57" s="133"/>
      <c r="Z57" s="133"/>
      <c r="AA57" s="133"/>
    </row>
    <row r="58" spans="2:27" x14ac:dyDescent="0.25">
      <c r="B58" s="171"/>
      <c r="C58" s="156"/>
      <c r="D58" s="204"/>
      <c r="E58" s="202"/>
      <c r="F58" s="203" t="s">
        <v>0</v>
      </c>
      <c r="G58" s="207">
        <f>SUM(G48:G57)</f>
        <v>1</v>
      </c>
      <c r="H58" s="460">
        <f>SUM(H48:H57)</f>
        <v>19</v>
      </c>
      <c r="I58" s="248">
        <f>SUM(I48:I57)</f>
        <v>6</v>
      </c>
      <c r="J58" s="212"/>
      <c r="K58" s="212"/>
      <c r="L58" s="228"/>
      <c r="M58" s="228"/>
      <c r="N58" s="228"/>
      <c r="O58" s="228"/>
      <c r="P58" s="228"/>
      <c r="Q58" s="228"/>
      <c r="R58" s="228"/>
      <c r="S58" s="228"/>
      <c r="T58" s="161"/>
      <c r="U58" s="129"/>
      <c r="V58" s="133"/>
      <c r="W58" s="133"/>
      <c r="X58" s="133"/>
      <c r="Y58" s="133"/>
      <c r="Z58" s="133"/>
      <c r="AA58" s="133"/>
    </row>
    <row r="59" spans="2:27" x14ac:dyDescent="0.25">
      <c r="B59" s="171"/>
      <c r="C59" s="156"/>
      <c r="D59" s="204"/>
      <c r="E59" s="202"/>
      <c r="F59" s="199"/>
      <c r="G59" s="199"/>
      <c r="H59" s="212">
        <f>SUM(H58+I58)</f>
        <v>25</v>
      </c>
      <c r="I59" s="212"/>
      <c r="J59" s="212"/>
      <c r="K59" s="212"/>
      <c r="L59" s="228"/>
      <c r="M59" s="228"/>
      <c r="N59" s="228"/>
      <c r="O59" s="228"/>
      <c r="P59" s="228"/>
      <c r="Q59" s="228"/>
      <c r="R59" s="228"/>
      <c r="S59" s="228"/>
      <c r="T59" s="161"/>
      <c r="U59" s="129"/>
      <c r="V59" s="133"/>
      <c r="W59" s="133"/>
      <c r="X59" s="133"/>
      <c r="Y59" s="133"/>
      <c r="Z59" s="133"/>
      <c r="AA59" s="133"/>
    </row>
    <row r="60" spans="2:27" x14ac:dyDescent="0.25">
      <c r="B60" s="171"/>
      <c r="C60" s="156"/>
      <c r="D60" s="208"/>
      <c r="E60" s="199"/>
      <c r="F60" s="202"/>
      <c r="G60" s="211"/>
      <c r="H60" s="200"/>
      <c r="I60" s="200"/>
      <c r="J60" s="200"/>
      <c r="K60" s="200"/>
      <c r="L60" s="228"/>
      <c r="M60" s="228"/>
      <c r="N60" s="228"/>
      <c r="O60" s="228"/>
      <c r="P60" s="228"/>
      <c r="Q60" s="228"/>
      <c r="R60" s="228"/>
      <c r="S60" s="228"/>
      <c r="T60" s="161"/>
      <c r="U60" s="129"/>
      <c r="V60" s="133"/>
      <c r="W60" s="133"/>
      <c r="X60" s="133"/>
      <c r="Y60" s="133"/>
      <c r="Z60" s="133"/>
      <c r="AA60" s="133"/>
    </row>
    <row r="61" spans="2:27" x14ac:dyDescent="0.25">
      <c r="B61" s="171"/>
      <c r="C61" s="156"/>
      <c r="D61" s="208"/>
      <c r="E61" s="199"/>
      <c r="F61" s="209"/>
      <c r="G61" s="211"/>
      <c r="H61" s="200"/>
      <c r="I61" s="200"/>
      <c r="J61" s="200"/>
      <c r="K61" s="200"/>
      <c r="L61" s="228"/>
      <c r="M61" s="228"/>
      <c r="N61" s="228"/>
      <c r="O61" s="228"/>
      <c r="P61" s="228"/>
      <c r="Q61" s="228"/>
      <c r="R61" s="228"/>
      <c r="S61" s="228"/>
      <c r="T61" s="161"/>
      <c r="U61" s="129"/>
      <c r="V61" s="133"/>
      <c r="W61" s="133"/>
      <c r="X61" s="133"/>
      <c r="Y61" s="133"/>
      <c r="Z61" s="133"/>
      <c r="AA61" s="133"/>
    </row>
    <row r="62" spans="2:27" x14ac:dyDescent="0.25">
      <c r="B62" s="172"/>
      <c r="C62" s="179"/>
      <c r="D62" s="155"/>
      <c r="E62" s="156"/>
      <c r="F62" s="180"/>
      <c r="G62" s="181"/>
      <c r="H62" s="153"/>
      <c r="I62" s="153"/>
      <c r="J62" s="153"/>
      <c r="K62" s="153"/>
      <c r="L62" s="152"/>
      <c r="M62" s="152"/>
      <c r="N62" s="152"/>
      <c r="O62" s="152"/>
      <c r="P62" s="152"/>
      <c r="Q62" s="152"/>
      <c r="R62" s="152"/>
      <c r="S62" s="152"/>
      <c r="T62" s="161"/>
      <c r="U62" s="129"/>
      <c r="V62" s="133"/>
      <c r="W62" s="133"/>
      <c r="X62" s="133"/>
      <c r="Y62" s="133"/>
      <c r="Z62" s="133"/>
      <c r="AA62" s="133"/>
    </row>
    <row r="63" spans="2:27" x14ac:dyDescent="0.25">
      <c r="B63" s="171"/>
      <c r="C63" s="156"/>
      <c r="D63" s="155"/>
      <c r="E63" s="156"/>
      <c r="F63" s="156"/>
      <c r="G63" s="156"/>
      <c r="H63" s="153"/>
      <c r="I63" s="153"/>
      <c r="J63" s="153"/>
      <c r="K63" s="153"/>
      <c r="L63" s="152"/>
      <c r="M63" s="152"/>
      <c r="N63" s="152"/>
      <c r="O63" s="152"/>
      <c r="P63" s="152"/>
      <c r="Q63" s="152"/>
      <c r="R63" s="152"/>
      <c r="S63" s="152"/>
      <c r="T63" s="161"/>
      <c r="U63" s="129"/>
      <c r="V63" s="133"/>
      <c r="W63" s="133"/>
      <c r="X63" s="133"/>
      <c r="Y63" s="133"/>
      <c r="Z63" s="133"/>
      <c r="AA63" s="133"/>
    </row>
    <row r="64" spans="2:27" x14ac:dyDescent="0.25">
      <c r="B64" s="171"/>
      <c r="C64" s="154"/>
      <c r="D64" s="155"/>
      <c r="E64" s="156"/>
      <c r="F64" s="156"/>
      <c r="G64" s="156"/>
      <c r="H64" s="153"/>
      <c r="I64" s="153"/>
      <c r="J64" s="153"/>
      <c r="K64" s="153"/>
      <c r="L64" s="154"/>
      <c r="M64" s="154"/>
      <c r="N64" s="154"/>
      <c r="O64" s="154"/>
      <c r="P64" s="154"/>
      <c r="Q64" s="152"/>
      <c r="R64" s="152"/>
      <c r="S64" s="152"/>
      <c r="T64" s="152"/>
      <c r="U64" s="129"/>
      <c r="V64" s="133"/>
      <c r="W64" s="133"/>
      <c r="X64" s="133"/>
      <c r="Y64" s="133"/>
      <c r="Z64" s="133"/>
      <c r="AA64" s="133"/>
    </row>
    <row r="65" spans="3:28" x14ac:dyDescent="0.25">
      <c r="C65" s="154"/>
      <c r="D65" s="155"/>
      <c r="E65" s="156"/>
      <c r="F65" s="156"/>
      <c r="G65" s="156"/>
      <c r="H65" s="153"/>
      <c r="I65" s="153"/>
      <c r="J65" s="153"/>
      <c r="K65" s="153"/>
      <c r="L65" s="154"/>
      <c r="M65" s="154"/>
      <c r="N65" s="154"/>
      <c r="O65" s="154"/>
      <c r="P65" s="154"/>
      <c r="Q65" s="152"/>
      <c r="R65" s="152"/>
      <c r="S65" s="152"/>
      <c r="T65" s="152"/>
      <c r="U65" s="129"/>
      <c r="V65" s="133"/>
      <c r="W65" s="133"/>
      <c r="X65" s="133"/>
      <c r="Y65" s="133"/>
      <c r="Z65" s="133"/>
      <c r="AA65" s="133"/>
    </row>
    <row r="66" spans="3:28" x14ac:dyDescent="0.25">
      <c r="C66" s="154"/>
      <c r="D66" s="155"/>
      <c r="E66" s="156"/>
      <c r="F66" s="156"/>
      <c r="G66" s="156"/>
      <c r="H66" s="153"/>
      <c r="I66" s="153"/>
      <c r="J66" s="153"/>
      <c r="K66" s="153"/>
      <c r="L66" s="154"/>
      <c r="M66" s="154"/>
      <c r="N66" s="154"/>
      <c r="O66" s="154"/>
      <c r="P66" s="154"/>
      <c r="Q66" s="152"/>
      <c r="R66" s="165"/>
      <c r="S66" s="152"/>
      <c r="T66" s="152"/>
      <c r="U66" s="129"/>
      <c r="V66" s="133"/>
      <c r="W66" s="133"/>
      <c r="X66" s="133"/>
      <c r="Y66" s="133"/>
      <c r="Z66" s="133"/>
      <c r="AA66" s="133"/>
      <c r="AB66" s="157"/>
    </row>
    <row r="67" spans="3:28" ht="20" x14ac:dyDescent="0.3">
      <c r="C67" s="156"/>
      <c r="D67" s="164"/>
      <c r="E67" s="156"/>
      <c r="F67" s="156"/>
      <c r="G67" s="156"/>
      <c r="H67" s="153"/>
      <c r="I67" s="153"/>
      <c r="J67" s="166"/>
      <c r="K67" s="153"/>
      <c r="L67" s="156"/>
      <c r="M67" s="156"/>
      <c r="N67" s="156"/>
      <c r="O67" s="156"/>
      <c r="P67" s="156"/>
      <c r="Q67" s="152"/>
      <c r="R67" s="152"/>
      <c r="S67" s="165"/>
      <c r="T67" s="165"/>
      <c r="U67" s="129"/>
      <c r="V67" s="130"/>
      <c r="W67" s="130"/>
      <c r="X67" s="130"/>
      <c r="Y67" s="131"/>
      <c r="Z67" s="131"/>
      <c r="AA67" s="131"/>
      <c r="AB67" s="132"/>
    </row>
    <row r="68" spans="3:28" ht="20" x14ac:dyDescent="0.25">
      <c r="C68" s="156"/>
      <c r="D68" s="164"/>
      <c r="E68" s="156"/>
      <c r="F68" s="156"/>
      <c r="G68" s="156"/>
      <c r="H68" s="153"/>
      <c r="I68" s="153"/>
      <c r="J68" s="166"/>
      <c r="K68" s="153"/>
      <c r="L68" s="156"/>
      <c r="M68" s="156"/>
      <c r="N68" s="156"/>
      <c r="O68" s="156"/>
      <c r="P68" s="156"/>
      <c r="Q68" s="152"/>
      <c r="R68" s="152"/>
      <c r="S68" s="152"/>
      <c r="T68" s="152"/>
      <c r="U68" s="129"/>
      <c r="V68" s="133"/>
      <c r="W68" s="133"/>
      <c r="X68" s="133"/>
      <c r="Y68" s="133"/>
      <c r="Z68" s="133"/>
      <c r="AA68" s="133"/>
    </row>
    <row r="69" spans="3:28" ht="20" x14ac:dyDescent="0.25">
      <c r="C69" s="154"/>
      <c r="D69" s="164"/>
      <c r="E69" s="154"/>
      <c r="F69" s="154"/>
      <c r="G69" s="154"/>
      <c r="H69" s="153"/>
      <c r="I69" s="153"/>
      <c r="J69" s="166"/>
      <c r="K69" s="153"/>
      <c r="L69" s="154"/>
      <c r="M69" s="154"/>
      <c r="N69" s="154"/>
      <c r="O69" s="154"/>
      <c r="P69" s="154"/>
      <c r="Q69" s="152"/>
      <c r="R69" s="152"/>
      <c r="S69" s="152"/>
      <c r="T69" s="152"/>
      <c r="U69" s="129"/>
      <c r="V69" s="133"/>
      <c r="W69" s="133"/>
      <c r="X69" s="133"/>
      <c r="Y69" s="133"/>
      <c r="Z69" s="133"/>
      <c r="AA69" s="133"/>
    </row>
    <row r="70" spans="3:28" ht="20" x14ac:dyDescent="0.25">
      <c r="C70" s="154"/>
      <c r="D70" s="164"/>
      <c r="E70" s="154"/>
      <c r="F70" s="154"/>
      <c r="G70" s="154"/>
      <c r="H70" s="153"/>
      <c r="I70" s="153"/>
      <c r="J70" s="166"/>
      <c r="K70" s="153"/>
      <c r="L70" s="154"/>
      <c r="M70" s="154"/>
      <c r="N70" s="154"/>
      <c r="O70" s="154"/>
      <c r="P70" s="154"/>
      <c r="Q70" s="152"/>
      <c r="R70" s="152"/>
      <c r="S70" s="152"/>
      <c r="T70" s="152"/>
      <c r="U70" s="129"/>
      <c r="V70" s="133"/>
      <c r="W70" s="133"/>
      <c r="X70" s="133"/>
      <c r="Y70" s="133"/>
      <c r="Z70" s="133"/>
      <c r="AA70" s="133"/>
    </row>
    <row r="71" spans="3:28" ht="20" x14ac:dyDescent="0.25">
      <c r="C71" s="154"/>
      <c r="D71" s="164"/>
      <c r="E71" s="154"/>
      <c r="F71" s="154"/>
      <c r="G71" s="154"/>
      <c r="H71" s="153"/>
      <c r="I71" s="153"/>
      <c r="J71" s="166"/>
      <c r="K71" s="153"/>
      <c r="L71" s="154"/>
      <c r="M71" s="154"/>
      <c r="N71" s="154"/>
      <c r="O71" s="154"/>
      <c r="P71" s="154"/>
      <c r="Q71" s="152"/>
      <c r="R71" s="152"/>
      <c r="S71" s="152"/>
      <c r="T71" s="152"/>
      <c r="U71" s="129"/>
      <c r="V71" s="133"/>
      <c r="W71" s="133"/>
      <c r="X71" s="133"/>
      <c r="Y71" s="133"/>
      <c r="Z71" s="133"/>
      <c r="AA71" s="133"/>
    </row>
    <row r="72" spans="3:28" x14ac:dyDescent="0.25">
      <c r="C72" s="154"/>
      <c r="D72" s="155"/>
      <c r="E72" s="154"/>
      <c r="F72" s="154"/>
      <c r="G72" s="154"/>
      <c r="H72" s="153"/>
      <c r="I72" s="153"/>
      <c r="J72" s="153"/>
      <c r="K72" s="153"/>
      <c r="L72" s="154"/>
      <c r="M72" s="154"/>
      <c r="N72" s="154"/>
      <c r="O72" s="154"/>
      <c r="P72" s="154"/>
      <c r="Q72" s="152"/>
      <c r="R72" s="152"/>
      <c r="S72" s="152"/>
      <c r="T72" s="152"/>
      <c r="U72" s="129"/>
      <c r="V72" s="133"/>
      <c r="W72" s="133"/>
      <c r="X72" s="133"/>
      <c r="Y72" s="133"/>
      <c r="Z72" s="133"/>
      <c r="AA72" s="133"/>
    </row>
    <row r="73" spans="3:28" x14ac:dyDescent="0.25">
      <c r="C73" s="154"/>
      <c r="D73" s="155"/>
      <c r="E73" s="154"/>
      <c r="F73" s="154"/>
      <c r="G73" s="154"/>
      <c r="H73" s="153"/>
      <c r="I73" s="153"/>
      <c r="J73" s="153"/>
      <c r="K73" s="153"/>
      <c r="L73" s="154"/>
      <c r="M73" s="154"/>
      <c r="N73" s="154"/>
      <c r="O73" s="154"/>
      <c r="P73" s="154"/>
      <c r="Q73" s="152"/>
      <c r="R73" s="152"/>
      <c r="S73" s="152"/>
      <c r="T73" s="152"/>
      <c r="U73" s="129"/>
      <c r="V73" s="133"/>
      <c r="W73" s="133"/>
      <c r="X73" s="133"/>
      <c r="Y73" s="133"/>
      <c r="Z73" s="133"/>
      <c r="AA73" s="133"/>
    </row>
    <row r="74" spans="3:28" x14ac:dyDescent="0.25">
      <c r="C74" s="154"/>
      <c r="D74" s="155"/>
      <c r="E74" s="154"/>
      <c r="F74" s="154"/>
      <c r="G74" s="154"/>
      <c r="H74" s="153"/>
      <c r="I74" s="153"/>
      <c r="J74" s="153"/>
      <c r="K74" s="153"/>
      <c r="L74" s="154"/>
      <c r="M74" s="154"/>
      <c r="N74" s="154"/>
      <c r="O74" s="154"/>
      <c r="P74" s="154"/>
      <c r="Q74" s="152"/>
      <c r="R74" s="152"/>
      <c r="S74" s="152"/>
      <c r="T74" s="152"/>
      <c r="U74" s="129"/>
      <c r="V74" s="133"/>
      <c r="W74" s="133"/>
      <c r="X74" s="133"/>
      <c r="Y74" s="133"/>
      <c r="Z74" s="133"/>
      <c r="AA74" s="133"/>
    </row>
    <row r="75" spans="3:28" x14ac:dyDescent="0.25">
      <c r="C75" s="154"/>
      <c r="D75" s="155"/>
      <c r="E75" s="154"/>
      <c r="F75" s="154"/>
      <c r="G75" s="154"/>
      <c r="H75" s="153"/>
      <c r="I75" s="153"/>
      <c r="J75" s="153"/>
      <c r="K75" s="153"/>
      <c r="L75" s="154"/>
      <c r="M75" s="154"/>
      <c r="N75" s="154"/>
      <c r="O75" s="154"/>
      <c r="P75" s="154"/>
      <c r="Q75" s="152"/>
      <c r="R75" s="152"/>
      <c r="S75" s="152"/>
      <c r="T75" s="152"/>
      <c r="U75" s="129"/>
      <c r="V75" s="133"/>
      <c r="W75" s="133"/>
      <c r="X75" s="133"/>
      <c r="Y75" s="133"/>
      <c r="Z75" s="133"/>
      <c r="AA75" s="133"/>
    </row>
    <row r="76" spans="3:28" x14ac:dyDescent="0.25">
      <c r="C76" s="154"/>
      <c r="D76" s="155"/>
      <c r="E76" s="154"/>
      <c r="F76" s="154"/>
      <c r="G76" s="154"/>
      <c r="H76" s="153"/>
      <c r="I76" s="153"/>
      <c r="J76" s="153"/>
      <c r="K76" s="153"/>
      <c r="L76" s="154"/>
      <c r="M76" s="154"/>
      <c r="N76" s="154"/>
      <c r="O76" s="154"/>
      <c r="P76" s="154"/>
      <c r="Q76" s="152"/>
      <c r="R76" s="152"/>
      <c r="S76" s="152"/>
      <c r="T76" s="152"/>
      <c r="U76" s="129"/>
      <c r="V76" s="133"/>
      <c r="W76" s="133"/>
      <c r="X76" s="133"/>
      <c r="Y76" s="133"/>
      <c r="Z76" s="133"/>
      <c r="AA76" s="133"/>
    </row>
    <row r="77" spans="3:28" x14ac:dyDescent="0.25">
      <c r="C77" s="154"/>
      <c r="D77" s="155"/>
      <c r="E77" s="154"/>
      <c r="F77" s="154"/>
      <c r="G77" s="154"/>
      <c r="H77" s="153"/>
      <c r="I77" s="153"/>
      <c r="J77" s="153"/>
      <c r="K77" s="153"/>
      <c r="L77" s="154"/>
      <c r="M77" s="154"/>
      <c r="N77" s="154"/>
      <c r="O77" s="154"/>
      <c r="P77" s="154"/>
      <c r="Q77" s="152"/>
      <c r="R77" s="152"/>
      <c r="S77" s="152"/>
      <c r="T77" s="152"/>
      <c r="U77" s="129"/>
      <c r="V77" s="133"/>
      <c r="W77" s="133"/>
      <c r="X77" s="133"/>
      <c r="Y77" s="133"/>
      <c r="Z77" s="133"/>
      <c r="AA77" s="133"/>
    </row>
    <row r="78" spans="3:28" x14ac:dyDescent="0.25">
      <c r="C78" s="154"/>
      <c r="D78" s="155"/>
      <c r="E78" s="154"/>
      <c r="F78" s="154"/>
      <c r="G78" s="154"/>
      <c r="H78" s="153"/>
      <c r="I78" s="153"/>
      <c r="J78" s="153"/>
      <c r="K78" s="153"/>
      <c r="L78" s="154"/>
      <c r="M78" s="154"/>
      <c r="N78" s="154"/>
      <c r="O78" s="154"/>
      <c r="P78" s="154"/>
      <c r="Q78" s="152"/>
      <c r="R78" s="152"/>
      <c r="S78" s="152"/>
      <c r="T78" s="152"/>
      <c r="U78" s="129"/>
      <c r="V78" s="133"/>
      <c r="W78" s="133"/>
      <c r="X78" s="133"/>
      <c r="Y78" s="133"/>
      <c r="Z78" s="133"/>
      <c r="AA78" s="133"/>
    </row>
    <row r="79" spans="3:28" x14ac:dyDescent="0.25">
      <c r="C79" s="154"/>
      <c r="D79" s="155"/>
      <c r="E79" s="154"/>
      <c r="F79" s="154"/>
      <c r="G79" s="154"/>
      <c r="H79" s="153"/>
      <c r="I79" s="153"/>
      <c r="J79" s="153"/>
      <c r="K79" s="153"/>
      <c r="L79" s="154"/>
      <c r="M79" s="154"/>
      <c r="N79" s="154"/>
      <c r="O79" s="154"/>
      <c r="P79" s="154"/>
      <c r="Q79" s="152"/>
      <c r="R79" s="152"/>
      <c r="S79" s="152"/>
      <c r="T79" s="152"/>
      <c r="U79" s="129"/>
      <c r="V79" s="133"/>
      <c r="W79" s="133"/>
      <c r="X79" s="133"/>
      <c r="Y79" s="133"/>
      <c r="Z79" s="133"/>
      <c r="AA79" s="133"/>
    </row>
    <row r="80" spans="3:28" x14ac:dyDescent="0.25">
      <c r="C80" s="154"/>
      <c r="D80" s="155"/>
      <c r="E80" s="154"/>
      <c r="F80" s="154"/>
      <c r="G80" s="154"/>
      <c r="H80" s="153"/>
      <c r="I80" s="153"/>
      <c r="J80" s="153"/>
      <c r="K80" s="153"/>
      <c r="L80" s="154"/>
      <c r="M80" s="154"/>
      <c r="N80" s="154"/>
      <c r="O80" s="154"/>
      <c r="P80" s="154"/>
      <c r="Q80" s="152"/>
      <c r="R80" s="152"/>
      <c r="S80" s="152"/>
      <c r="T80" s="152"/>
      <c r="U80" s="129"/>
      <c r="V80" s="133"/>
      <c r="W80" s="133"/>
      <c r="X80" s="133"/>
      <c r="Y80" s="133"/>
      <c r="Z80" s="133"/>
      <c r="AA80" s="133"/>
    </row>
    <row r="81" spans="3:27" x14ac:dyDescent="0.25">
      <c r="C81" s="154"/>
      <c r="D81" s="155"/>
      <c r="E81" s="154"/>
      <c r="F81" s="154"/>
      <c r="G81" s="154"/>
      <c r="H81" s="153"/>
      <c r="I81" s="153"/>
      <c r="J81" s="153"/>
      <c r="K81" s="153"/>
      <c r="L81" s="154"/>
      <c r="M81" s="154"/>
      <c r="N81" s="154"/>
      <c r="O81" s="154"/>
      <c r="P81" s="154"/>
      <c r="Q81" s="152"/>
      <c r="R81" s="152"/>
      <c r="S81" s="152"/>
      <c r="T81" s="152"/>
      <c r="U81" s="129"/>
      <c r="V81" s="133"/>
      <c r="W81" s="133"/>
      <c r="X81" s="133"/>
      <c r="Y81" s="133"/>
      <c r="Z81" s="133"/>
      <c r="AA81" s="133"/>
    </row>
    <row r="82" spans="3:27" x14ac:dyDescent="0.25">
      <c r="C82" s="154"/>
      <c r="D82" s="155"/>
      <c r="E82" s="154"/>
      <c r="F82" s="154"/>
      <c r="G82" s="154"/>
      <c r="H82" s="153"/>
      <c r="I82" s="153"/>
      <c r="J82" s="153"/>
      <c r="K82" s="153"/>
      <c r="L82" s="154"/>
      <c r="M82" s="154"/>
      <c r="N82" s="154"/>
      <c r="O82" s="154"/>
      <c r="P82" s="154"/>
      <c r="Q82" s="152"/>
      <c r="R82" s="152"/>
      <c r="S82" s="152"/>
      <c r="T82" s="152"/>
      <c r="U82" s="129"/>
      <c r="V82" s="133"/>
      <c r="W82" s="133"/>
      <c r="X82" s="133"/>
      <c r="Y82" s="133"/>
      <c r="Z82" s="133"/>
      <c r="AA82" s="133"/>
    </row>
    <row r="83" spans="3:27" x14ac:dyDescent="0.25">
      <c r="C83" s="154"/>
      <c r="D83" s="155"/>
      <c r="E83" s="154"/>
      <c r="F83" s="154"/>
      <c r="G83" s="154"/>
      <c r="H83" s="153"/>
      <c r="I83" s="153"/>
      <c r="J83" s="153"/>
      <c r="K83" s="153"/>
      <c r="L83" s="154"/>
      <c r="M83" s="154"/>
      <c r="N83" s="154"/>
      <c r="O83" s="154"/>
      <c r="P83" s="154"/>
      <c r="Q83" s="152"/>
      <c r="R83" s="152"/>
      <c r="S83" s="152"/>
      <c r="T83" s="152"/>
      <c r="U83" s="129"/>
      <c r="V83" s="133"/>
      <c r="W83" s="133"/>
      <c r="X83" s="133"/>
      <c r="Y83" s="133"/>
      <c r="Z83" s="133"/>
      <c r="AA83" s="133"/>
    </row>
    <row r="84" spans="3:27" x14ac:dyDescent="0.25">
      <c r="C84" s="154"/>
      <c r="D84" s="155"/>
      <c r="E84" s="154"/>
      <c r="F84" s="154"/>
      <c r="G84" s="154"/>
      <c r="H84" s="153"/>
      <c r="I84" s="153"/>
      <c r="J84" s="153"/>
      <c r="K84" s="153"/>
      <c r="L84" s="154"/>
      <c r="M84" s="154"/>
      <c r="N84" s="154"/>
      <c r="O84" s="154"/>
      <c r="P84" s="154"/>
      <c r="Q84" s="152"/>
      <c r="R84" s="152"/>
      <c r="S84" s="152"/>
      <c r="T84" s="152"/>
      <c r="U84" s="129"/>
      <c r="V84" s="133"/>
      <c r="W84" s="133"/>
      <c r="X84" s="133"/>
      <c r="Y84" s="133"/>
      <c r="Z84" s="133"/>
      <c r="AA84" s="133"/>
    </row>
    <row r="85" spans="3:27" x14ac:dyDescent="0.25">
      <c r="C85" s="154"/>
      <c r="D85" s="162"/>
      <c r="E85" s="167"/>
      <c r="F85" s="167"/>
      <c r="G85" s="167"/>
      <c r="H85" s="168"/>
      <c r="I85" s="168"/>
      <c r="J85" s="168"/>
      <c r="K85" s="168"/>
      <c r="L85" s="154"/>
      <c r="M85" s="154"/>
      <c r="N85" s="154"/>
      <c r="O85" s="154"/>
      <c r="P85" s="154"/>
      <c r="Q85" s="152"/>
      <c r="R85" s="152"/>
      <c r="S85" s="152"/>
      <c r="T85" s="152"/>
      <c r="U85" s="129"/>
      <c r="V85" s="133"/>
      <c r="W85" s="133"/>
      <c r="X85" s="133"/>
      <c r="Y85" s="133"/>
      <c r="Z85" s="133"/>
      <c r="AA85" s="133"/>
    </row>
    <row r="86" spans="3:27" x14ac:dyDescent="0.25">
      <c r="Q86" s="103"/>
      <c r="R86" s="103"/>
      <c r="S86" s="103"/>
      <c r="T86" s="103"/>
      <c r="U86" s="129"/>
      <c r="V86" s="133"/>
      <c r="W86" s="133"/>
      <c r="X86" s="133"/>
      <c r="Y86" s="133"/>
      <c r="Z86" s="133"/>
      <c r="AA86" s="133"/>
    </row>
    <row r="87" spans="3:27" x14ac:dyDescent="0.25">
      <c r="Q87" s="103"/>
      <c r="R87" s="103"/>
      <c r="S87" s="103"/>
      <c r="T87" s="103"/>
      <c r="U87" s="129"/>
      <c r="V87" s="133"/>
      <c r="W87" s="133"/>
      <c r="X87" s="133"/>
      <c r="Y87" s="133"/>
      <c r="Z87" s="133"/>
      <c r="AA87" s="133"/>
    </row>
    <row r="88" spans="3:27" x14ac:dyDescent="0.25">
      <c r="Q88" s="103"/>
      <c r="R88" s="103"/>
      <c r="S88" s="103"/>
      <c r="T88" s="103"/>
      <c r="U88" s="103"/>
      <c r="V88" s="133"/>
      <c r="W88" s="133"/>
      <c r="X88" s="133"/>
      <c r="Y88" s="133"/>
      <c r="Z88" s="133"/>
      <c r="AA88" s="133"/>
    </row>
    <row r="89" spans="3:27" x14ac:dyDescent="0.25">
      <c r="Q89" s="103"/>
      <c r="R89" s="103"/>
      <c r="S89" s="103"/>
      <c r="T89" s="103"/>
      <c r="U89" s="103"/>
      <c r="V89" s="133"/>
      <c r="W89" s="133"/>
      <c r="X89" s="133"/>
      <c r="Y89" s="133"/>
      <c r="Z89" s="133"/>
      <c r="AA89" s="133"/>
    </row>
    <row r="90" spans="3:27" x14ac:dyDescent="0.25">
      <c r="Q90" s="103"/>
      <c r="R90" s="103"/>
      <c r="S90" s="103"/>
      <c r="T90" s="103"/>
      <c r="U90" s="103"/>
      <c r="V90" s="133"/>
      <c r="W90" s="133"/>
      <c r="X90" s="133"/>
      <c r="Y90" s="133"/>
      <c r="Z90" s="133"/>
      <c r="AA90" s="133"/>
    </row>
    <row r="91" spans="3:27" x14ac:dyDescent="0.25">
      <c r="Q91" s="103"/>
      <c r="R91" s="103"/>
      <c r="S91" s="103"/>
      <c r="T91" s="103"/>
      <c r="U91" s="103"/>
      <c r="V91" s="133"/>
      <c r="W91" s="133"/>
      <c r="X91" s="133"/>
      <c r="Y91" s="133"/>
      <c r="Z91" s="133"/>
      <c r="AA91" s="133"/>
    </row>
    <row r="92" spans="3:27" x14ac:dyDescent="0.25">
      <c r="V92" s="157"/>
      <c r="W92" s="157"/>
      <c r="X92" s="157"/>
      <c r="Y92" s="157"/>
      <c r="Z92" s="157"/>
      <c r="AA92" s="157"/>
    </row>
    <row r="93" spans="3:27" x14ac:dyDescent="0.25">
      <c r="V93" s="157"/>
      <c r="W93" s="157"/>
      <c r="X93" s="157"/>
      <c r="Y93" s="157"/>
      <c r="Z93" s="157"/>
      <c r="AA93" s="157"/>
    </row>
    <row r="94" spans="3:27" x14ac:dyDescent="0.25">
      <c r="V94" s="157"/>
      <c r="W94" s="157"/>
      <c r="X94" s="157"/>
      <c r="Y94" s="157"/>
      <c r="Z94" s="157"/>
      <c r="AA94" s="157"/>
    </row>
    <row r="95" spans="3:27" x14ac:dyDescent="0.25">
      <c r="V95" s="157"/>
      <c r="W95" s="157"/>
      <c r="X95" s="157"/>
      <c r="Y95" s="157"/>
      <c r="Z95" s="157"/>
      <c r="AA95" s="157"/>
    </row>
    <row r="96" spans="3:27" x14ac:dyDescent="0.25">
      <c r="V96" s="157"/>
      <c r="W96" s="157"/>
      <c r="X96" s="157"/>
      <c r="Y96" s="157"/>
      <c r="Z96" s="157"/>
      <c r="AA96" s="157"/>
    </row>
    <row r="97" spans="22:27" x14ac:dyDescent="0.25">
      <c r="V97" s="157"/>
      <c r="W97" s="157"/>
      <c r="X97" s="157"/>
      <c r="Y97" s="157"/>
      <c r="Z97" s="157"/>
      <c r="AA97" s="157"/>
    </row>
    <row r="98" spans="22:27" x14ac:dyDescent="0.25">
      <c r="V98" s="157"/>
      <c r="W98" s="157"/>
      <c r="X98" s="157"/>
      <c r="Y98" s="157"/>
      <c r="Z98" s="157"/>
      <c r="AA98" s="157"/>
    </row>
    <row r="99" spans="22:27" x14ac:dyDescent="0.25">
      <c r="V99" s="157"/>
      <c r="W99" s="157"/>
      <c r="X99" s="157"/>
      <c r="Y99" s="157"/>
      <c r="Z99" s="157"/>
      <c r="AA99" s="157"/>
    </row>
    <row r="100" spans="22:27" x14ac:dyDescent="0.25">
      <c r="V100" s="157"/>
      <c r="W100" s="157"/>
      <c r="X100" s="157"/>
      <c r="Y100" s="157"/>
      <c r="Z100" s="157"/>
      <c r="AA100" s="157"/>
    </row>
    <row r="101" spans="22:27" x14ac:dyDescent="0.25">
      <c r="V101" s="157"/>
      <c r="W101" s="157"/>
      <c r="X101" s="157"/>
      <c r="Y101" s="157"/>
      <c r="Z101" s="157"/>
      <c r="AA101" s="157"/>
    </row>
    <row r="102" spans="22:27" x14ac:dyDescent="0.25">
      <c r="V102" s="157"/>
      <c r="W102" s="157"/>
      <c r="X102" s="157"/>
      <c r="Y102" s="157"/>
      <c r="Z102" s="157"/>
      <c r="AA102" s="157"/>
    </row>
    <row r="103" spans="22:27" x14ac:dyDescent="0.25">
      <c r="V103" s="157"/>
      <c r="W103" s="157"/>
      <c r="X103" s="157"/>
      <c r="Y103" s="157"/>
      <c r="Z103" s="157"/>
      <c r="AA103" s="157"/>
    </row>
    <row r="104" spans="22:27" x14ac:dyDescent="0.25">
      <c r="V104" s="157"/>
      <c r="W104" s="157"/>
      <c r="X104" s="157"/>
      <c r="Y104" s="157"/>
      <c r="Z104" s="157"/>
      <c r="AA104" s="157"/>
    </row>
    <row r="105" spans="22:27" x14ac:dyDescent="0.25">
      <c r="V105" s="157"/>
      <c r="W105" s="157"/>
      <c r="X105" s="157"/>
      <c r="Y105" s="157"/>
      <c r="Z105" s="157"/>
      <c r="AA105" s="157"/>
    </row>
    <row r="106" spans="22:27" x14ac:dyDescent="0.25">
      <c r="V106" s="157"/>
      <c r="W106" s="157"/>
      <c r="X106" s="157"/>
      <c r="Y106" s="157"/>
      <c r="Z106" s="157"/>
      <c r="AA106" s="157"/>
    </row>
    <row r="107" spans="22:27" x14ac:dyDescent="0.25">
      <c r="V107" s="157"/>
      <c r="W107" s="157"/>
      <c r="X107" s="157"/>
      <c r="Y107" s="157"/>
      <c r="Z107" s="157"/>
      <c r="AA107" s="157"/>
    </row>
    <row r="108" spans="22:27" x14ac:dyDescent="0.25">
      <c r="V108" s="157"/>
      <c r="W108" s="157"/>
      <c r="X108" s="157"/>
      <c r="Y108" s="157"/>
      <c r="Z108" s="157"/>
      <c r="AA108" s="157"/>
    </row>
    <row r="109" spans="22:27" x14ac:dyDescent="0.25">
      <c r="V109" s="157"/>
      <c r="W109" s="157"/>
      <c r="X109" s="157"/>
      <c r="Y109" s="157"/>
      <c r="Z109" s="157"/>
      <c r="AA109" s="157"/>
    </row>
    <row r="110" spans="22:27" x14ac:dyDescent="0.25">
      <c r="V110" s="157"/>
      <c r="W110" s="157"/>
      <c r="X110" s="157"/>
      <c r="Y110" s="157"/>
      <c r="Z110" s="157"/>
      <c r="AA110" s="157"/>
    </row>
    <row r="111" spans="22:27" x14ac:dyDescent="0.25">
      <c r="V111" s="157"/>
      <c r="W111" s="157"/>
      <c r="X111" s="157"/>
      <c r="Y111" s="157"/>
      <c r="Z111" s="157"/>
      <c r="AA111" s="157"/>
    </row>
    <row r="112" spans="22:27" x14ac:dyDescent="0.25">
      <c r="V112" s="157"/>
      <c r="W112" s="157"/>
      <c r="X112" s="157"/>
      <c r="Y112" s="157"/>
      <c r="Z112" s="157"/>
      <c r="AA112" s="157"/>
    </row>
    <row r="113" spans="22:27" x14ac:dyDescent="0.25">
      <c r="V113" s="157"/>
      <c r="W113" s="157"/>
      <c r="X113" s="157"/>
      <c r="Y113" s="157"/>
      <c r="Z113" s="157"/>
      <c r="AA113" s="157"/>
    </row>
    <row r="114" spans="22:27" x14ac:dyDescent="0.25">
      <c r="V114" s="157"/>
      <c r="W114" s="157"/>
      <c r="X114" s="157"/>
      <c r="Y114" s="157"/>
      <c r="Z114" s="157"/>
      <c r="AA114" s="157"/>
    </row>
    <row r="115" spans="22:27" x14ac:dyDescent="0.25">
      <c r="V115" s="157"/>
      <c r="W115" s="157"/>
      <c r="X115" s="157"/>
      <c r="Y115" s="157"/>
      <c r="Z115" s="157"/>
      <c r="AA115" s="157"/>
    </row>
    <row r="116" spans="22:27" x14ac:dyDescent="0.25">
      <c r="V116" s="157"/>
      <c r="W116" s="157"/>
      <c r="X116" s="157"/>
      <c r="Y116" s="157"/>
      <c r="Z116" s="157"/>
      <c r="AA116" s="157"/>
    </row>
    <row r="117" spans="22:27" x14ac:dyDescent="0.25">
      <c r="V117" s="157"/>
      <c r="W117" s="157"/>
      <c r="X117" s="157"/>
      <c r="Y117" s="157"/>
      <c r="Z117" s="157"/>
      <c r="AA117" s="157"/>
    </row>
    <row r="118" spans="22:27" x14ac:dyDescent="0.25">
      <c r="V118" s="157"/>
      <c r="W118" s="157"/>
      <c r="X118" s="157"/>
      <c r="Y118" s="157"/>
      <c r="Z118" s="157"/>
      <c r="AA118" s="157"/>
    </row>
    <row r="119" spans="22:27" x14ac:dyDescent="0.25">
      <c r="V119" s="157"/>
      <c r="W119" s="157"/>
      <c r="X119" s="157"/>
      <c r="Y119" s="157"/>
      <c r="Z119" s="157"/>
      <c r="AA119" s="157"/>
    </row>
    <row r="120" spans="22:27" x14ac:dyDescent="0.25">
      <c r="V120" s="157"/>
      <c r="W120" s="157"/>
      <c r="X120" s="157"/>
      <c r="Y120" s="157"/>
      <c r="Z120" s="157"/>
      <c r="AA120" s="157"/>
    </row>
    <row r="121" spans="22:27" x14ac:dyDescent="0.25">
      <c r="V121" s="157"/>
      <c r="W121" s="157"/>
      <c r="X121" s="157"/>
      <c r="Y121" s="157"/>
      <c r="Z121" s="157"/>
      <c r="AA121" s="157"/>
    </row>
    <row r="122" spans="22:27" x14ac:dyDescent="0.25">
      <c r="V122" s="157"/>
      <c r="W122" s="157"/>
      <c r="X122" s="157"/>
      <c r="Y122" s="157"/>
      <c r="Z122" s="157"/>
      <c r="AA122" s="157"/>
    </row>
    <row r="123" spans="22:27" x14ac:dyDescent="0.25">
      <c r="V123" s="157"/>
      <c r="W123" s="157"/>
      <c r="X123" s="157"/>
      <c r="Y123" s="157"/>
      <c r="Z123" s="157"/>
      <c r="AA123" s="157"/>
    </row>
    <row r="124" spans="22:27" x14ac:dyDescent="0.25">
      <c r="V124" s="157"/>
      <c r="W124" s="157"/>
      <c r="X124" s="157"/>
      <c r="Y124" s="157"/>
      <c r="Z124" s="157"/>
      <c r="AA124" s="157"/>
    </row>
    <row r="125" spans="22:27" x14ac:dyDescent="0.25">
      <c r="V125" s="157"/>
      <c r="W125" s="157"/>
      <c r="X125" s="157"/>
      <c r="Y125" s="157"/>
      <c r="Z125" s="157"/>
      <c r="AA125" s="157"/>
    </row>
    <row r="126" spans="22:27" x14ac:dyDescent="0.25">
      <c r="V126" s="157"/>
      <c r="W126" s="157"/>
      <c r="X126" s="157"/>
      <c r="Y126" s="157"/>
      <c r="Z126" s="157"/>
      <c r="AA126" s="157"/>
    </row>
    <row r="127" spans="22:27" x14ac:dyDescent="0.25">
      <c r="V127" s="157"/>
      <c r="W127" s="157"/>
      <c r="X127" s="157"/>
      <c r="Y127" s="157"/>
      <c r="Z127" s="157"/>
      <c r="AA127" s="157"/>
    </row>
    <row r="128" spans="22:27" x14ac:dyDescent="0.25">
      <c r="V128" s="157"/>
      <c r="W128" s="157"/>
      <c r="X128" s="157"/>
      <c r="Y128" s="157"/>
      <c r="Z128" s="157"/>
      <c r="AA128" s="157"/>
    </row>
    <row r="129" spans="22:27" x14ac:dyDescent="0.25">
      <c r="V129" s="157"/>
      <c r="W129" s="157"/>
      <c r="X129" s="157"/>
      <c r="Y129" s="157"/>
      <c r="Z129" s="157"/>
      <c r="AA129" s="157"/>
    </row>
    <row r="130" spans="22:27" x14ac:dyDescent="0.25">
      <c r="V130" s="157"/>
      <c r="W130" s="157"/>
      <c r="X130" s="157"/>
      <c r="Y130" s="157"/>
      <c r="Z130" s="157"/>
      <c r="AA130" s="157"/>
    </row>
    <row r="131" spans="22:27" x14ac:dyDescent="0.25">
      <c r="V131" s="157"/>
      <c r="W131" s="157"/>
      <c r="X131" s="157"/>
      <c r="Y131" s="157"/>
      <c r="Z131" s="157"/>
      <c r="AA131" s="157"/>
    </row>
    <row r="132" spans="22:27" x14ac:dyDescent="0.25">
      <c r="V132" s="157"/>
      <c r="W132" s="157"/>
      <c r="X132" s="157"/>
      <c r="Y132" s="157"/>
      <c r="Z132" s="157"/>
      <c r="AA132" s="157"/>
    </row>
    <row r="133" spans="22:27" x14ac:dyDescent="0.25">
      <c r="V133" s="157"/>
      <c r="W133" s="157"/>
      <c r="X133" s="157"/>
      <c r="Y133" s="157"/>
      <c r="Z133" s="157"/>
      <c r="AA133" s="157"/>
    </row>
    <row r="134" spans="22:27" x14ac:dyDescent="0.25">
      <c r="V134" s="157"/>
      <c r="W134" s="157"/>
      <c r="X134" s="157"/>
      <c r="Y134" s="157"/>
      <c r="Z134" s="157"/>
      <c r="AA134" s="157"/>
    </row>
    <row r="135" spans="22:27" x14ac:dyDescent="0.25">
      <c r="V135" s="157"/>
      <c r="W135" s="157"/>
      <c r="X135" s="157"/>
      <c r="Y135" s="157"/>
      <c r="Z135" s="157"/>
      <c r="AA135" s="157"/>
    </row>
    <row r="136" spans="22:27" x14ac:dyDescent="0.25">
      <c r="V136" s="157"/>
      <c r="W136" s="157"/>
      <c r="X136" s="157"/>
      <c r="Y136" s="157"/>
      <c r="Z136" s="157"/>
      <c r="AA136" s="157"/>
    </row>
    <row r="137" spans="22:27" x14ac:dyDescent="0.25">
      <c r="V137" s="157"/>
      <c r="W137" s="157"/>
      <c r="X137" s="157"/>
      <c r="Y137" s="157"/>
      <c r="Z137" s="157"/>
      <c r="AA137" s="157"/>
    </row>
    <row r="138" spans="22:27" x14ac:dyDescent="0.25">
      <c r="V138" s="157"/>
      <c r="W138" s="157"/>
      <c r="X138" s="157"/>
      <c r="Y138" s="157"/>
      <c r="Z138" s="157"/>
      <c r="AA138" s="157"/>
    </row>
    <row r="139" spans="22:27" x14ac:dyDescent="0.25">
      <c r="V139" s="157"/>
      <c r="W139" s="157"/>
      <c r="X139" s="157"/>
      <c r="Y139" s="157"/>
      <c r="Z139" s="157"/>
      <c r="AA139" s="157"/>
    </row>
    <row r="140" spans="22:27" x14ac:dyDescent="0.25">
      <c r="V140" s="157"/>
      <c r="W140" s="157"/>
      <c r="X140" s="157"/>
      <c r="Y140" s="157"/>
      <c r="Z140" s="157"/>
      <c r="AA140" s="157"/>
    </row>
    <row r="141" spans="22:27" x14ac:dyDescent="0.25">
      <c r="V141" s="157"/>
      <c r="W141" s="157"/>
      <c r="X141" s="157"/>
      <c r="Y141" s="157"/>
      <c r="Z141" s="157"/>
      <c r="AA141" s="157"/>
    </row>
    <row r="142" spans="22:27" x14ac:dyDescent="0.25">
      <c r="V142" s="157"/>
      <c r="W142" s="157"/>
      <c r="X142" s="157"/>
      <c r="Y142" s="157"/>
      <c r="Z142" s="157"/>
      <c r="AA142" s="157"/>
    </row>
    <row r="143" spans="22:27" x14ac:dyDescent="0.25">
      <c r="V143" s="157"/>
      <c r="W143" s="157"/>
      <c r="X143" s="157"/>
      <c r="Y143" s="157"/>
      <c r="Z143" s="157"/>
      <c r="AA143" s="157"/>
    </row>
    <row r="144" spans="22:27" x14ac:dyDescent="0.25">
      <c r="V144" s="157"/>
      <c r="W144" s="157"/>
      <c r="X144" s="157"/>
      <c r="Y144" s="157"/>
      <c r="Z144" s="157"/>
      <c r="AA144" s="157"/>
    </row>
    <row r="145" spans="22:27" x14ac:dyDescent="0.25">
      <c r="V145" s="157"/>
      <c r="W145" s="157"/>
      <c r="X145" s="157"/>
      <c r="Y145" s="157"/>
      <c r="Z145" s="157"/>
      <c r="AA145" s="157"/>
    </row>
    <row r="146" spans="22:27" x14ac:dyDescent="0.25">
      <c r="V146" s="157"/>
      <c r="W146" s="157"/>
      <c r="X146" s="157"/>
      <c r="Y146" s="157"/>
      <c r="Z146" s="157"/>
      <c r="AA146" s="157"/>
    </row>
    <row r="147" spans="22:27" x14ac:dyDescent="0.25">
      <c r="V147" s="157"/>
      <c r="W147" s="157"/>
      <c r="X147" s="157"/>
      <c r="Y147" s="157"/>
      <c r="Z147" s="157"/>
      <c r="AA147" s="157"/>
    </row>
    <row r="148" spans="22:27" x14ac:dyDescent="0.25">
      <c r="V148" s="157"/>
      <c r="W148" s="157"/>
      <c r="X148" s="157"/>
      <c r="Y148" s="157"/>
      <c r="Z148" s="157"/>
      <c r="AA148" s="157"/>
    </row>
    <row r="149" spans="22:27" x14ac:dyDescent="0.25">
      <c r="V149" s="157"/>
      <c r="W149" s="157"/>
      <c r="X149" s="157"/>
      <c r="Y149" s="157"/>
      <c r="Z149" s="157"/>
      <c r="AA149" s="157"/>
    </row>
    <row r="150" spans="22:27" x14ac:dyDescent="0.25">
      <c r="V150" s="157"/>
      <c r="W150" s="157"/>
      <c r="X150" s="157"/>
      <c r="Y150" s="157"/>
      <c r="Z150" s="157"/>
      <c r="AA150" s="157"/>
    </row>
    <row r="151" spans="22:27" x14ac:dyDescent="0.25">
      <c r="V151" s="157"/>
      <c r="W151" s="157"/>
      <c r="X151" s="157"/>
      <c r="Y151" s="157"/>
      <c r="Z151" s="157"/>
      <c r="AA151" s="157"/>
    </row>
    <row r="152" spans="22:27" x14ac:dyDescent="0.25">
      <c r="V152" s="157"/>
      <c r="W152" s="157"/>
      <c r="X152" s="157"/>
      <c r="Y152" s="157"/>
      <c r="Z152" s="157"/>
      <c r="AA152" s="157"/>
    </row>
    <row r="153" spans="22:27" x14ac:dyDescent="0.25">
      <c r="V153" s="157"/>
      <c r="W153" s="157"/>
      <c r="X153" s="157"/>
      <c r="Y153" s="157"/>
      <c r="Z153" s="157"/>
      <c r="AA153" s="157"/>
    </row>
    <row r="154" spans="22:27" x14ac:dyDescent="0.25">
      <c r="V154" s="157"/>
      <c r="W154" s="157"/>
      <c r="X154" s="157"/>
      <c r="Y154" s="157"/>
      <c r="Z154" s="157"/>
      <c r="AA154" s="157"/>
    </row>
    <row r="155" spans="22:27" x14ac:dyDescent="0.25">
      <c r="V155" s="157"/>
      <c r="W155" s="157"/>
      <c r="X155" s="157"/>
      <c r="Y155" s="157"/>
      <c r="Z155" s="157"/>
      <c r="AA155" s="157"/>
    </row>
    <row r="156" spans="22:27" x14ac:dyDescent="0.25">
      <c r="V156" s="157"/>
      <c r="W156" s="157"/>
      <c r="X156" s="157"/>
      <c r="Y156" s="157"/>
      <c r="Z156" s="157"/>
      <c r="AA156" s="157"/>
    </row>
    <row r="157" spans="22:27" x14ac:dyDescent="0.25">
      <c r="V157" s="157"/>
      <c r="W157" s="157"/>
      <c r="X157" s="157"/>
      <c r="Y157" s="157"/>
      <c r="Z157" s="157"/>
      <c r="AA157" s="157"/>
    </row>
    <row r="158" spans="22:27" x14ac:dyDescent="0.25">
      <c r="V158" s="157"/>
      <c r="W158" s="157"/>
      <c r="X158" s="157"/>
      <c r="Y158" s="157"/>
      <c r="Z158" s="157"/>
      <c r="AA158" s="157"/>
    </row>
    <row r="159" spans="22:27" x14ac:dyDescent="0.25">
      <c r="V159" s="157"/>
      <c r="W159" s="157"/>
      <c r="X159" s="157"/>
      <c r="Y159" s="157"/>
      <c r="Z159" s="157"/>
      <c r="AA159" s="157"/>
    </row>
    <row r="160" spans="22:27" x14ac:dyDescent="0.25">
      <c r="V160" s="157"/>
      <c r="W160" s="157"/>
      <c r="X160" s="157"/>
      <c r="Y160" s="157"/>
      <c r="Z160" s="157"/>
      <c r="AA160" s="157"/>
    </row>
    <row r="161" spans="22:27" x14ac:dyDescent="0.25">
      <c r="V161" s="157"/>
      <c r="W161" s="157"/>
      <c r="X161" s="157"/>
      <c r="Y161" s="157"/>
      <c r="Z161" s="157"/>
      <c r="AA161" s="157"/>
    </row>
    <row r="162" spans="22:27" x14ac:dyDescent="0.25">
      <c r="V162" s="157"/>
      <c r="W162" s="157"/>
      <c r="X162" s="157"/>
      <c r="Y162" s="157"/>
      <c r="Z162" s="157"/>
      <c r="AA162" s="157"/>
    </row>
    <row r="163" spans="22:27" x14ac:dyDescent="0.25">
      <c r="V163" s="157"/>
      <c r="W163" s="157"/>
      <c r="X163" s="157"/>
      <c r="Y163" s="157"/>
      <c r="Z163" s="157"/>
      <c r="AA163" s="157"/>
    </row>
    <row r="164" spans="22:27" x14ac:dyDescent="0.25">
      <c r="V164" s="157"/>
      <c r="W164" s="157"/>
      <c r="X164" s="157"/>
      <c r="Y164" s="157"/>
      <c r="Z164" s="157"/>
      <c r="AA164" s="157"/>
    </row>
    <row r="165" spans="22:27" x14ac:dyDescent="0.25">
      <c r="V165" s="157"/>
      <c r="W165" s="157"/>
      <c r="X165" s="157"/>
      <c r="Y165" s="157"/>
      <c r="Z165" s="157"/>
      <c r="AA165" s="157"/>
    </row>
    <row r="166" spans="22:27" x14ac:dyDescent="0.25">
      <c r="V166" s="157"/>
      <c r="W166" s="157"/>
      <c r="X166" s="157"/>
      <c r="Y166" s="157"/>
      <c r="Z166" s="157"/>
      <c r="AA166" s="157"/>
    </row>
    <row r="167" spans="22:27" x14ac:dyDescent="0.25">
      <c r="V167" s="157"/>
      <c r="W167" s="157"/>
      <c r="X167" s="157"/>
      <c r="Y167" s="157"/>
      <c r="Z167" s="157"/>
      <c r="AA167" s="157"/>
    </row>
    <row r="168" spans="22:27" x14ac:dyDescent="0.25">
      <c r="V168" s="157"/>
      <c r="W168" s="157"/>
      <c r="X168" s="157"/>
      <c r="Y168" s="157"/>
      <c r="Z168" s="157"/>
      <c r="AA168" s="157"/>
    </row>
    <row r="169" spans="22:27" x14ac:dyDescent="0.25">
      <c r="V169" s="157"/>
      <c r="W169" s="157"/>
      <c r="X169" s="157"/>
      <c r="Y169" s="157"/>
      <c r="Z169" s="157"/>
      <c r="AA169" s="157"/>
    </row>
    <row r="170" spans="22:27" x14ac:dyDescent="0.25">
      <c r="V170" s="157"/>
      <c r="W170" s="157"/>
      <c r="X170" s="157"/>
      <c r="Y170" s="157"/>
      <c r="Z170" s="157"/>
      <c r="AA170" s="157"/>
    </row>
    <row r="171" spans="22:27" x14ac:dyDescent="0.25">
      <c r="V171" s="157"/>
      <c r="W171" s="157"/>
      <c r="X171" s="157"/>
      <c r="Y171" s="157"/>
      <c r="Z171" s="157"/>
      <c r="AA171" s="157"/>
    </row>
    <row r="172" spans="22:27" x14ac:dyDescent="0.25">
      <c r="V172" s="157"/>
      <c r="W172" s="157"/>
      <c r="X172" s="157"/>
      <c r="Y172" s="157"/>
      <c r="Z172" s="157"/>
      <c r="AA172" s="157"/>
    </row>
    <row r="173" spans="22:27" x14ac:dyDescent="0.25">
      <c r="V173" s="157"/>
      <c r="W173" s="157"/>
      <c r="X173" s="157"/>
      <c r="Y173" s="157"/>
      <c r="Z173" s="157"/>
      <c r="AA173" s="157"/>
    </row>
    <row r="174" spans="22:27" x14ac:dyDescent="0.25">
      <c r="V174" s="157"/>
      <c r="W174" s="157"/>
      <c r="X174" s="157"/>
      <c r="Y174" s="157"/>
      <c r="Z174" s="157"/>
      <c r="AA174" s="157"/>
    </row>
    <row r="175" spans="22:27" x14ac:dyDescent="0.25">
      <c r="V175" s="157"/>
      <c r="W175" s="157"/>
      <c r="X175" s="157"/>
      <c r="Y175" s="157"/>
      <c r="Z175" s="157"/>
      <c r="AA175" s="157"/>
    </row>
    <row r="176" spans="22:27" x14ac:dyDescent="0.25">
      <c r="V176" s="157"/>
      <c r="W176" s="157"/>
      <c r="X176" s="157"/>
      <c r="Y176" s="157"/>
      <c r="Z176" s="157"/>
      <c r="AA176" s="157"/>
    </row>
    <row r="177" spans="22:27" x14ac:dyDescent="0.25">
      <c r="V177" s="157"/>
      <c r="W177" s="157"/>
      <c r="X177" s="157"/>
      <c r="Y177" s="157"/>
      <c r="Z177" s="157"/>
      <c r="AA177" s="157"/>
    </row>
    <row r="178" spans="22:27" x14ac:dyDescent="0.25">
      <c r="V178" s="157"/>
      <c r="W178" s="157"/>
      <c r="X178" s="157"/>
      <c r="Y178" s="157"/>
      <c r="Z178" s="157"/>
      <c r="AA178" s="157"/>
    </row>
    <row r="179" spans="22:27" x14ac:dyDescent="0.25">
      <c r="V179" s="157"/>
      <c r="W179" s="157"/>
      <c r="X179" s="157"/>
      <c r="Y179" s="157"/>
      <c r="Z179" s="157"/>
      <c r="AA179" s="157"/>
    </row>
    <row r="180" spans="22:27" x14ac:dyDescent="0.25">
      <c r="V180" s="157"/>
      <c r="W180" s="157"/>
      <c r="X180" s="157"/>
      <c r="Y180" s="157"/>
      <c r="Z180" s="157"/>
      <c r="AA180" s="157"/>
    </row>
    <row r="181" spans="22:27" x14ac:dyDescent="0.25">
      <c r="V181" s="157"/>
      <c r="W181" s="157"/>
      <c r="X181" s="157"/>
      <c r="Y181" s="157"/>
      <c r="Z181" s="157"/>
      <c r="AA181" s="157"/>
    </row>
    <row r="182" spans="22:27" x14ac:dyDescent="0.25">
      <c r="V182" s="157"/>
      <c r="W182" s="157"/>
      <c r="X182" s="157"/>
      <c r="Y182" s="157"/>
      <c r="Z182" s="157"/>
      <c r="AA182" s="157"/>
    </row>
    <row r="183" spans="22:27" x14ac:dyDescent="0.25">
      <c r="V183" s="157"/>
      <c r="W183" s="157"/>
      <c r="X183" s="157"/>
      <c r="Y183" s="157"/>
      <c r="Z183" s="157"/>
      <c r="AA183" s="157"/>
    </row>
    <row r="184" spans="22:27" x14ac:dyDescent="0.25">
      <c r="V184" s="157"/>
      <c r="W184" s="157"/>
      <c r="X184" s="157"/>
      <c r="Y184" s="157"/>
      <c r="Z184" s="157"/>
      <c r="AA184" s="157"/>
    </row>
    <row r="185" spans="22:27" x14ac:dyDescent="0.25">
      <c r="V185" s="157"/>
      <c r="W185" s="157"/>
      <c r="X185" s="157"/>
      <c r="Y185" s="157"/>
      <c r="Z185" s="157"/>
      <c r="AA185" s="157"/>
    </row>
    <row r="186" spans="22:27" x14ac:dyDescent="0.25">
      <c r="V186" s="157"/>
      <c r="W186" s="157"/>
      <c r="X186" s="157"/>
      <c r="Y186" s="157"/>
      <c r="Z186" s="157"/>
      <c r="AA186" s="157"/>
    </row>
    <row r="187" spans="22:27" x14ac:dyDescent="0.25">
      <c r="V187" s="157"/>
      <c r="W187" s="157"/>
      <c r="X187" s="157"/>
      <c r="Y187" s="157"/>
      <c r="Z187" s="157"/>
      <c r="AA187" s="157"/>
    </row>
    <row r="188" spans="22:27" x14ac:dyDescent="0.25">
      <c r="V188" s="157"/>
      <c r="W188" s="157"/>
      <c r="X188" s="157"/>
      <c r="Y188" s="157"/>
      <c r="Z188" s="157"/>
      <c r="AA188" s="157"/>
    </row>
    <row r="189" spans="22:27" x14ac:dyDescent="0.25">
      <c r="V189" s="157"/>
      <c r="W189" s="157"/>
      <c r="X189" s="157"/>
      <c r="Y189" s="157"/>
      <c r="Z189" s="157"/>
      <c r="AA189" s="157"/>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15:C18">
    <cfRule type="expression" dxfId="180" priority="251" stopIfTrue="1">
      <formula>B15=3</formula>
    </cfRule>
    <cfRule type="expression" dxfId="179" priority="252" stopIfTrue="1">
      <formula>B15=4</formula>
    </cfRule>
    <cfRule type="expression" dxfId="178" priority="253" stopIfTrue="1">
      <formula>B15=5</formula>
    </cfRule>
  </conditionalFormatting>
  <conditionalFormatting sqref="F5:F40">
    <cfRule type="expression" dxfId="177" priority="247">
      <formula>$H5=0</formula>
    </cfRule>
    <cfRule type="expression" dxfId="176" priority="250">
      <formula>$H5=0</formula>
    </cfRule>
  </conditionalFormatting>
  <conditionalFormatting sqref="H5:H40">
    <cfRule type="cellIs" dxfId="175" priority="254" stopIfTrue="1" operator="between">
      <formula>0.1</formula>
      <formula>1.9</formula>
    </cfRule>
    <cfRule type="cellIs" dxfId="174" priority="255" stopIfTrue="1" operator="between">
      <formula>3</formula>
      <formula>3.9</formula>
    </cfRule>
    <cfRule type="cellIs" dxfId="173" priority="256" stopIfTrue="1" operator="between">
      <formula>4</formula>
      <formula>5</formula>
    </cfRule>
  </conditionalFormatting>
  <conditionalFormatting sqref="F5:F40">
    <cfRule type="expression" dxfId="172" priority="248">
      <formula>$H5&lt;#REF!</formula>
    </cfRule>
    <cfRule type="expression" dxfId="171" priority="249">
      <formula>$H5&gt;=#REF!</formula>
    </cfRule>
  </conditionalFormatting>
  <conditionalFormatting sqref="E5:E40">
    <cfRule type="expression" dxfId="170" priority="241">
      <formula>$D5=3</formula>
    </cfRule>
    <cfRule type="expression" dxfId="169" priority="242">
      <formula>$D5=4</formula>
    </cfRule>
    <cfRule type="expression" dxfId="168" priority="243">
      <formula>$D5=5</formula>
    </cfRule>
    <cfRule type="expression" dxfId="167" priority="244">
      <formula>$D5=8</formula>
    </cfRule>
    <cfRule type="expression" dxfId="166" priority="245">
      <formula>$D5=7</formula>
    </cfRule>
    <cfRule type="expression" dxfId="165" priority="246">
      <formula>$D5=6</formula>
    </cfRule>
  </conditionalFormatting>
  <conditionalFormatting sqref="C15:C18">
    <cfRule type="cellIs" dxfId="164" priority="237" operator="equal">
      <formula>""</formula>
    </cfRule>
    <cfRule type="expression" dxfId="163" priority="238" stopIfTrue="1">
      <formula>B15=8</formula>
    </cfRule>
    <cfRule type="expression" dxfId="162" priority="239" stopIfTrue="1">
      <formula>B15=7</formula>
    </cfRule>
    <cfRule type="expression" dxfId="161" priority="240" stopIfTrue="1">
      <formula>B15=6</formula>
    </cfRule>
  </conditionalFormatting>
  <conditionalFormatting sqref="C35:C40">
    <cfRule type="expression" dxfId="160" priority="234" stopIfTrue="1">
      <formula>B35=3</formula>
    </cfRule>
    <cfRule type="expression" dxfId="159" priority="235" stopIfTrue="1">
      <formula>B35=4</formula>
    </cfRule>
    <cfRule type="expression" dxfId="158" priority="236" stopIfTrue="1">
      <formula>B35=5</formula>
    </cfRule>
  </conditionalFormatting>
  <conditionalFormatting sqref="C35:C40">
    <cfRule type="cellIs" dxfId="157" priority="230" operator="equal">
      <formula>""</formula>
    </cfRule>
    <cfRule type="expression" dxfId="156" priority="231" stopIfTrue="1">
      <formula>B35=8</formula>
    </cfRule>
    <cfRule type="expression" dxfId="155" priority="232" stopIfTrue="1">
      <formula>B35=7</formula>
    </cfRule>
    <cfRule type="expression" dxfId="154" priority="233" stopIfTrue="1">
      <formula>B35=6</formula>
    </cfRule>
  </conditionalFormatting>
  <conditionalFormatting sqref="G42:G46">
    <cfRule type="cellIs" dxfId="153" priority="229" operator="notEqual">
      <formula>""</formula>
    </cfRule>
  </conditionalFormatting>
  <conditionalFormatting sqref="W7:Y7 W9:Y9 W11:Y11">
    <cfRule type="cellIs" dxfId="152" priority="228" operator="equal">
      <formula>0</formula>
    </cfRule>
  </conditionalFormatting>
  <conditionalFormatting sqref="Z13 Z15">
    <cfRule type="cellIs" dxfId="151" priority="227" operator="equal">
      <formula>0</formula>
    </cfRule>
  </conditionalFormatting>
  <conditionalFormatting sqref="V13 V15">
    <cfRule type="cellIs" dxfId="150" priority="226" operator="equal">
      <formula>0</formula>
    </cfRule>
  </conditionalFormatting>
  <conditionalFormatting sqref="V7 V9 V11">
    <cfRule type="cellIs" dxfId="149" priority="225" operator="equal">
      <formula>0</formula>
    </cfRule>
  </conditionalFormatting>
  <conditionalFormatting sqref="Z7 Z9 Z11">
    <cfRule type="cellIs" dxfId="148" priority="224" operator="equal">
      <formula>0</formula>
    </cfRule>
  </conditionalFormatting>
  <conditionalFormatting sqref="W13:Y13 W15:Y15">
    <cfRule type="cellIs" dxfId="147" priority="223" operator="equal">
      <formula>0</formula>
    </cfRule>
  </conditionalFormatting>
  <conditionalFormatting sqref="V6">
    <cfRule type="cellIs" dxfId="146" priority="222" operator="equal">
      <formula>0</formula>
    </cfRule>
  </conditionalFormatting>
  <conditionalFormatting sqref="Z6">
    <cfRule type="cellIs" dxfId="145" priority="221" operator="equal">
      <formula>0</formula>
    </cfRule>
  </conditionalFormatting>
  <conditionalFormatting sqref="I5:I40">
    <cfRule type="cellIs" dxfId="144" priority="218" stopIfTrue="1" operator="between">
      <formula>"D-3"</formula>
      <formula>"E-5"</formula>
    </cfRule>
    <cfRule type="cellIs" dxfId="143" priority="219" stopIfTrue="1" operator="between">
      <formula>"B-2"</formula>
      <formula>"B-3"</formula>
    </cfRule>
    <cfRule type="cellIs" dxfId="142" priority="220" stopIfTrue="1" operator="between">
      <formula>"A-1"</formula>
      <formula>"A-2"</formula>
    </cfRule>
  </conditionalFormatting>
  <conditionalFormatting sqref="I5:I40">
    <cfRule type="cellIs" dxfId="141" priority="216" operator="equal">
      <formula>"E-5-"</formula>
    </cfRule>
    <cfRule type="cellIs" dxfId="140" priority="217" operator="equal">
      <formula>"A-1+"</formula>
    </cfRule>
  </conditionalFormatting>
  <conditionalFormatting sqref="C42:C46">
    <cfRule type="cellIs" dxfId="139" priority="208" operator="notEqual">
      <formula>""</formula>
    </cfRule>
  </conditionalFormatting>
  <conditionalFormatting sqref="J5:J40">
    <cfRule type="cellIs" dxfId="138" priority="184" operator="equal">
      <formula>"*"</formula>
    </cfRule>
    <cfRule type="cellIs" dxfId="137" priority="185" operator="equal">
      <formula>"!"</formula>
    </cfRule>
  </conditionalFormatting>
  <conditionalFormatting sqref="K34:Q40">
    <cfRule type="cellIs" dxfId="136" priority="174" stopIfTrue="1" operator="equal">
      <formula>"G"</formula>
    </cfRule>
    <cfRule type="cellIs" dxfId="135" priority="175" stopIfTrue="1" operator="equal">
      <formula>"M"</formula>
    </cfRule>
    <cfRule type="cellIs" dxfId="134" priority="176" stopIfTrue="1" operator="equal">
      <formula>"O"</formula>
    </cfRule>
  </conditionalFormatting>
  <conditionalFormatting sqref="K33:Q33">
    <cfRule type="cellIs" dxfId="133" priority="171" stopIfTrue="1" operator="equal">
      <formula>"G"</formula>
    </cfRule>
    <cfRule type="cellIs" dxfId="132" priority="172" stopIfTrue="1" operator="equal">
      <formula>"M"</formula>
    </cfRule>
    <cfRule type="cellIs" dxfId="131" priority="173" stopIfTrue="1" operator="equal">
      <formula>"O"</formula>
    </cfRule>
  </conditionalFormatting>
  <conditionalFormatting sqref="K32:Q32">
    <cfRule type="cellIs" dxfId="130" priority="168" stopIfTrue="1" operator="equal">
      <formula>"G"</formula>
    </cfRule>
    <cfRule type="cellIs" dxfId="129" priority="169" stopIfTrue="1" operator="equal">
      <formula>"M"</formula>
    </cfRule>
    <cfRule type="cellIs" dxfId="128" priority="170" stopIfTrue="1" operator="equal">
      <formula>"O"</formula>
    </cfRule>
  </conditionalFormatting>
  <conditionalFormatting sqref="K31:Q33">
    <cfRule type="cellIs" dxfId="127" priority="165" stopIfTrue="1" operator="equal">
      <formula>"G"</formula>
    </cfRule>
    <cfRule type="cellIs" dxfId="126" priority="166" stopIfTrue="1" operator="equal">
      <formula>"M"</formula>
    </cfRule>
    <cfRule type="cellIs" dxfId="125" priority="167" stopIfTrue="1" operator="equal">
      <formula>"O"</formula>
    </cfRule>
  </conditionalFormatting>
  <conditionalFormatting sqref="K33:Q33">
    <cfRule type="cellIs" dxfId="124" priority="105" stopIfTrue="1" operator="equal">
      <formula>"G"</formula>
    </cfRule>
    <cfRule type="cellIs" dxfId="123" priority="106" stopIfTrue="1" operator="equal">
      <formula>"M"</formula>
    </cfRule>
    <cfRule type="cellIs" dxfId="122" priority="107" stopIfTrue="1" operator="equal">
      <formula>"O"</formula>
    </cfRule>
  </conditionalFormatting>
  <conditionalFormatting sqref="K28:Q30">
    <cfRule type="cellIs" dxfId="121" priority="99" stopIfTrue="1" operator="equal">
      <formula>"G"</formula>
    </cfRule>
    <cfRule type="cellIs" dxfId="120" priority="100" stopIfTrue="1" operator="equal">
      <formula>"M"</formula>
    </cfRule>
    <cfRule type="cellIs" dxfId="119" priority="101" stopIfTrue="1" operator="equal">
      <formula>"O"</formula>
    </cfRule>
  </conditionalFormatting>
  <conditionalFormatting sqref="K26:K28">
    <cfRule type="cellIs" dxfId="118" priority="96" stopIfTrue="1" operator="equal">
      <formula>"G"</formula>
    </cfRule>
    <cfRule type="cellIs" dxfId="117" priority="97" stopIfTrue="1" operator="equal">
      <formula>"M"</formula>
    </cfRule>
    <cfRule type="cellIs" dxfId="116" priority="98" stopIfTrue="1" operator="equal">
      <formula>"O"</formula>
    </cfRule>
  </conditionalFormatting>
  <conditionalFormatting sqref="L26:Q28">
    <cfRule type="cellIs" dxfId="115" priority="93" stopIfTrue="1" operator="equal">
      <formula>"G"</formula>
    </cfRule>
    <cfRule type="cellIs" dxfId="114" priority="94" stopIfTrue="1" operator="equal">
      <formula>"M"</formula>
    </cfRule>
    <cfRule type="cellIs" dxfId="113" priority="95" stopIfTrue="1" operator="equal">
      <formula>"O"</formula>
    </cfRule>
  </conditionalFormatting>
  <conditionalFormatting sqref="K15:Q15">
    <cfRule type="cellIs" dxfId="112" priority="90" stopIfTrue="1" operator="equal">
      <formula>"G"</formula>
    </cfRule>
    <cfRule type="cellIs" dxfId="111" priority="91" stopIfTrue="1" operator="equal">
      <formula>"M"</formula>
    </cfRule>
    <cfRule type="cellIs" dxfId="110" priority="92" stopIfTrue="1" operator="equal">
      <formula>"O"</formula>
    </cfRule>
  </conditionalFormatting>
  <conditionalFormatting sqref="K5:Q16">
    <cfRule type="cellIs" dxfId="109" priority="87" stopIfTrue="1" operator="equal">
      <formula>"G"</formula>
    </cfRule>
    <cfRule type="cellIs" dxfId="108" priority="88" stopIfTrue="1" operator="equal">
      <formula>"M"</formula>
    </cfRule>
    <cfRule type="cellIs" dxfId="107" priority="89" stopIfTrue="1" operator="equal">
      <formula>"O"</formula>
    </cfRule>
  </conditionalFormatting>
  <conditionalFormatting sqref="K21:Q21">
    <cfRule type="cellIs" dxfId="106" priority="84" stopIfTrue="1" operator="equal">
      <formula>"G"</formula>
    </cfRule>
    <cfRule type="cellIs" dxfId="105" priority="85" stopIfTrue="1" operator="equal">
      <formula>"M"</formula>
    </cfRule>
    <cfRule type="cellIs" dxfId="104" priority="86" stopIfTrue="1" operator="equal">
      <formula>"O"</formula>
    </cfRule>
  </conditionalFormatting>
  <conditionalFormatting sqref="K15:K21">
    <cfRule type="cellIs" dxfId="103" priority="81" stopIfTrue="1" operator="equal">
      <formula>"G"</formula>
    </cfRule>
    <cfRule type="cellIs" dxfId="102" priority="82" stopIfTrue="1" operator="equal">
      <formula>"M"</formula>
    </cfRule>
    <cfRule type="cellIs" dxfId="101" priority="83" stopIfTrue="1" operator="equal">
      <formula>"O"</formula>
    </cfRule>
  </conditionalFormatting>
  <conditionalFormatting sqref="L15:Q22">
    <cfRule type="cellIs" dxfId="100" priority="78" stopIfTrue="1" operator="equal">
      <formula>"G"</formula>
    </cfRule>
    <cfRule type="cellIs" dxfId="99" priority="79" stopIfTrue="1" operator="equal">
      <formula>"M"</formula>
    </cfRule>
    <cfRule type="cellIs" dxfId="98" priority="80" stopIfTrue="1" operator="equal">
      <formula>"O"</formula>
    </cfRule>
  </conditionalFormatting>
  <conditionalFormatting sqref="K20:K26">
    <cfRule type="cellIs" dxfId="97" priority="75" stopIfTrue="1" operator="equal">
      <formula>"G"</formula>
    </cfRule>
    <cfRule type="cellIs" dxfId="96" priority="76" stopIfTrue="1" operator="equal">
      <formula>"M"</formula>
    </cfRule>
    <cfRule type="cellIs" dxfId="95" priority="77" stopIfTrue="1" operator="equal">
      <formula>"O"</formula>
    </cfRule>
  </conditionalFormatting>
  <conditionalFormatting sqref="L20:Q26">
    <cfRule type="cellIs" dxfId="94" priority="72" stopIfTrue="1" operator="equal">
      <formula>"G"</formula>
    </cfRule>
    <cfRule type="cellIs" dxfId="93" priority="73" stopIfTrue="1" operator="equal">
      <formula>"M"</formula>
    </cfRule>
    <cfRule type="cellIs" dxfId="92" priority="74" stopIfTrue="1" operator="equal">
      <formula>"O"</formula>
    </cfRule>
  </conditionalFormatting>
  <conditionalFormatting sqref="K16:Q16">
    <cfRule type="cellIs" dxfId="91" priority="69" stopIfTrue="1" operator="equal">
      <formula>"G"</formula>
    </cfRule>
    <cfRule type="cellIs" dxfId="90" priority="70" stopIfTrue="1" operator="equal">
      <formula>"M"</formula>
    </cfRule>
    <cfRule type="cellIs" dxfId="89" priority="71" stopIfTrue="1" operator="equal">
      <formula>"O"</formula>
    </cfRule>
  </conditionalFormatting>
  <conditionalFormatting sqref="K22:Q22">
    <cfRule type="cellIs" dxfId="88" priority="66" stopIfTrue="1" operator="equal">
      <formula>"G"</formula>
    </cfRule>
    <cfRule type="cellIs" dxfId="87" priority="67" stopIfTrue="1" operator="equal">
      <formula>"M"</formula>
    </cfRule>
    <cfRule type="cellIs" dxfId="86" priority="68" stopIfTrue="1" operator="equal">
      <formula>"O"</formula>
    </cfRule>
  </conditionalFormatting>
  <conditionalFormatting sqref="K20:Q20">
    <cfRule type="cellIs" dxfId="85" priority="63" stopIfTrue="1" operator="equal">
      <formula>"G"</formula>
    </cfRule>
    <cfRule type="cellIs" dxfId="84" priority="64" stopIfTrue="1" operator="equal">
      <formula>"M"</formula>
    </cfRule>
    <cfRule type="cellIs" dxfId="83" priority="65" stopIfTrue="1" operator="equal">
      <formula>"O"</formula>
    </cfRule>
  </conditionalFormatting>
  <conditionalFormatting sqref="K21:Q21">
    <cfRule type="cellIs" dxfId="82" priority="60" stopIfTrue="1" operator="equal">
      <formula>"G"</formula>
    </cfRule>
    <cfRule type="cellIs" dxfId="81" priority="61" stopIfTrue="1" operator="equal">
      <formula>"M"</formula>
    </cfRule>
    <cfRule type="cellIs" dxfId="80" priority="62" stopIfTrue="1" operator="equal">
      <formula>"O"</formula>
    </cfRule>
  </conditionalFormatting>
  <conditionalFormatting sqref="K30:Q30">
    <cfRule type="cellIs" dxfId="79" priority="57" stopIfTrue="1" operator="equal">
      <formula>"G"</formula>
    </cfRule>
    <cfRule type="cellIs" dxfId="78" priority="58" stopIfTrue="1" operator="equal">
      <formula>"M"</formula>
    </cfRule>
    <cfRule type="cellIs" dxfId="77" priority="59" stopIfTrue="1" operator="equal">
      <formula>"O"</formula>
    </cfRule>
  </conditionalFormatting>
  <conditionalFormatting sqref="K14:Q14">
    <cfRule type="cellIs" dxfId="76" priority="54" stopIfTrue="1" operator="equal">
      <formula>"G"</formula>
    </cfRule>
    <cfRule type="cellIs" dxfId="75" priority="55" stopIfTrue="1" operator="equal">
      <formula>"M"</formula>
    </cfRule>
    <cfRule type="cellIs" dxfId="74" priority="56" stopIfTrue="1" operator="equal">
      <formula>"O"</formula>
    </cfRule>
  </conditionalFormatting>
  <conditionalFormatting sqref="K20:Q20">
    <cfRule type="cellIs" dxfId="73" priority="51" stopIfTrue="1" operator="equal">
      <formula>"G"</formula>
    </cfRule>
    <cfRule type="cellIs" dxfId="72" priority="52" stopIfTrue="1" operator="equal">
      <formula>"M"</formula>
    </cfRule>
    <cfRule type="cellIs" dxfId="71" priority="53" stopIfTrue="1" operator="equal">
      <formula>"O"</formula>
    </cfRule>
  </conditionalFormatting>
  <conditionalFormatting sqref="K15:Q15">
    <cfRule type="cellIs" dxfId="70" priority="48" stopIfTrue="1" operator="equal">
      <formula>"G"</formula>
    </cfRule>
    <cfRule type="cellIs" dxfId="69" priority="49" stopIfTrue="1" operator="equal">
      <formula>"M"</formula>
    </cfRule>
    <cfRule type="cellIs" dxfId="68" priority="50" stopIfTrue="1" operator="equal">
      <formula>"O"</formula>
    </cfRule>
  </conditionalFormatting>
  <conditionalFormatting sqref="K21:Q21">
    <cfRule type="cellIs" dxfId="67" priority="45" stopIfTrue="1" operator="equal">
      <formula>"G"</formula>
    </cfRule>
    <cfRule type="cellIs" dxfId="66" priority="46" stopIfTrue="1" operator="equal">
      <formula>"M"</formula>
    </cfRule>
    <cfRule type="cellIs" dxfId="65" priority="47" stopIfTrue="1" operator="equal">
      <formula>"O"</formula>
    </cfRule>
  </conditionalFormatting>
  <conditionalFormatting sqref="K19:Q19">
    <cfRule type="cellIs" dxfId="64" priority="42" stopIfTrue="1" operator="equal">
      <formula>"G"</formula>
    </cfRule>
    <cfRule type="cellIs" dxfId="63" priority="43" stopIfTrue="1" operator="equal">
      <formula>"M"</formula>
    </cfRule>
    <cfRule type="cellIs" dxfId="62" priority="44" stopIfTrue="1" operator="equal">
      <formula>"O"</formula>
    </cfRule>
  </conditionalFormatting>
  <conditionalFormatting sqref="K20:Q20">
    <cfRule type="cellIs" dxfId="61" priority="39" stopIfTrue="1" operator="equal">
      <formula>"G"</formula>
    </cfRule>
    <cfRule type="cellIs" dxfId="60" priority="40" stopIfTrue="1" operator="equal">
      <formula>"M"</formula>
    </cfRule>
    <cfRule type="cellIs" dxfId="59" priority="41" stopIfTrue="1" operator="equal">
      <formula>"O"</formula>
    </cfRule>
  </conditionalFormatting>
  <conditionalFormatting sqref="C13:C14">
    <cfRule type="expression" dxfId="58" priority="36" stopIfTrue="1">
      <formula>B13=3</formula>
    </cfRule>
    <cfRule type="expression" dxfId="57" priority="37" stopIfTrue="1">
      <formula>B13=4</formula>
    </cfRule>
    <cfRule type="expression" dxfId="56" priority="38" stopIfTrue="1">
      <formula>B13=5</formula>
    </cfRule>
  </conditionalFormatting>
  <conditionalFormatting sqref="C13:C14">
    <cfRule type="cellIs" dxfId="55" priority="32" operator="equal">
      <formula>""</formula>
    </cfRule>
    <cfRule type="expression" dxfId="54" priority="33" stopIfTrue="1">
      <formula>B13=8</formula>
    </cfRule>
    <cfRule type="expression" dxfId="53" priority="34" stopIfTrue="1">
      <formula>B13=7</formula>
    </cfRule>
    <cfRule type="expression" dxfId="52" priority="35" stopIfTrue="1">
      <formula>B13=6</formula>
    </cfRule>
  </conditionalFormatting>
  <conditionalFormatting sqref="C31">
    <cfRule type="expression" dxfId="51" priority="29" stopIfTrue="1">
      <formula>B31=3</formula>
    </cfRule>
    <cfRule type="expression" dxfId="50" priority="30" stopIfTrue="1">
      <formula>B31=4</formula>
    </cfRule>
    <cfRule type="expression" dxfId="49" priority="31" stopIfTrue="1">
      <formula>B31=5</formula>
    </cfRule>
  </conditionalFormatting>
  <conditionalFormatting sqref="C31">
    <cfRule type="cellIs" dxfId="48" priority="25" operator="equal">
      <formula>""</formula>
    </cfRule>
    <cfRule type="expression" dxfId="47" priority="26" stopIfTrue="1">
      <formula>B31=8</formula>
    </cfRule>
    <cfRule type="expression" dxfId="46" priority="27" stopIfTrue="1">
      <formula>B31=7</formula>
    </cfRule>
    <cfRule type="expression" dxfId="45" priority="28" stopIfTrue="1">
      <formula>B31=6</formula>
    </cfRule>
  </conditionalFormatting>
  <conditionalFormatting sqref="C29:C30">
    <cfRule type="expression" dxfId="44" priority="22" stopIfTrue="1">
      <formula>B29=3</formula>
    </cfRule>
    <cfRule type="expression" dxfId="43" priority="23" stopIfTrue="1">
      <formula>B29=4</formula>
    </cfRule>
    <cfRule type="expression" dxfId="42" priority="24" stopIfTrue="1">
      <formula>B29=5</formula>
    </cfRule>
  </conditionalFormatting>
  <conditionalFormatting sqref="C29:C30">
    <cfRule type="cellIs" dxfId="41" priority="18" operator="equal">
      <formula>""</formula>
    </cfRule>
    <cfRule type="expression" dxfId="40" priority="19" stopIfTrue="1">
      <formula>B29=8</formula>
    </cfRule>
    <cfRule type="expression" dxfId="39" priority="20" stopIfTrue="1">
      <formula>B29=7</formula>
    </cfRule>
    <cfRule type="expression" dxfId="38" priority="21" stopIfTrue="1">
      <formula>B29=6</formula>
    </cfRule>
  </conditionalFormatting>
  <conditionalFormatting sqref="C32:C34">
    <cfRule type="expression" dxfId="37" priority="15" stopIfTrue="1">
      <formula>B32=3</formula>
    </cfRule>
    <cfRule type="expression" dxfId="36" priority="16" stopIfTrue="1">
      <formula>B32=4</formula>
    </cfRule>
    <cfRule type="expression" dxfId="35" priority="17" stopIfTrue="1">
      <formula>B32=5</formula>
    </cfRule>
  </conditionalFormatting>
  <conditionalFormatting sqref="C32:C34">
    <cfRule type="cellIs" dxfId="34" priority="11" operator="equal">
      <formula>""</formula>
    </cfRule>
    <cfRule type="expression" dxfId="33" priority="12" stopIfTrue="1">
      <formula>B32=8</formula>
    </cfRule>
    <cfRule type="expression" dxfId="32" priority="13" stopIfTrue="1">
      <formula>B32=7</formula>
    </cfRule>
    <cfRule type="expression" dxfId="31" priority="14" stopIfTrue="1">
      <formula>B32=6</formula>
    </cfRule>
  </conditionalFormatting>
  <conditionalFormatting sqref="C7:C12">
    <cfRule type="expression" dxfId="30" priority="8" stopIfTrue="1">
      <formula>B7=3</formula>
    </cfRule>
    <cfRule type="expression" dxfId="29" priority="9" stopIfTrue="1">
      <formula>B7=4</formula>
    </cfRule>
    <cfRule type="expression" dxfId="28" priority="10" stopIfTrue="1">
      <formula>B7=5</formula>
    </cfRule>
  </conditionalFormatting>
  <conditionalFormatting sqref="C7:C12">
    <cfRule type="cellIs" dxfId="27" priority="4" operator="equal">
      <formula>""</formula>
    </cfRule>
    <cfRule type="expression" dxfId="26" priority="5" stopIfTrue="1">
      <formula>B7=8</formula>
    </cfRule>
    <cfRule type="expression" dxfId="25" priority="6" stopIfTrue="1">
      <formula>B7=7</formula>
    </cfRule>
    <cfRule type="expression" dxfId="24" priority="7" stopIfTrue="1">
      <formula>B7=6</formula>
    </cfRule>
  </conditionalFormatting>
  <conditionalFormatting sqref="R5:R40">
    <cfRule type="cellIs" dxfId="23" priority="1" operator="equal">
      <formula>FALSE</formula>
    </cfRule>
    <cfRule type="cellIs" dxfId="22" priority="2" operator="equal">
      <formula>"*"</formula>
    </cfRule>
    <cfRule type="cellIs" dxfId="21" priority="3" operator="equal">
      <formula>"!"</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horizontalDpi="4294967293" r:id="rId1"/>
  <headerFooter alignWithMargins="0">
    <oddHeader>&amp;C&amp;"Arial,Vet"&amp;16&amp;A</oddHeader>
    <oddFooter>&amp;R© www.meesterharrie.nl</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5" x14ac:dyDescent="0.25"/>
  <sheetData>
    <row r="2" spans="1:3" ht="36.75" customHeight="1" x14ac:dyDescent="0.25">
      <c r="A2" s="32"/>
      <c r="B2" s="39" t="s">
        <v>41</v>
      </c>
    </row>
    <row r="3" spans="1:3" ht="17.5" x14ac:dyDescent="0.25">
      <c r="C3" s="38" t="s">
        <v>16</v>
      </c>
    </row>
    <row r="4" spans="1:3" ht="14.5" x14ac:dyDescent="0.25">
      <c r="C4" s="33" t="s">
        <v>17</v>
      </c>
    </row>
    <row r="5" spans="1:3" ht="14.5" x14ac:dyDescent="0.25">
      <c r="C5" s="33" t="s">
        <v>18</v>
      </c>
    </row>
    <row r="6" spans="1:3" ht="14.5" x14ac:dyDescent="0.25">
      <c r="C6" s="33" t="s">
        <v>34</v>
      </c>
    </row>
    <row r="7" spans="1:3" ht="14.5" x14ac:dyDescent="0.25">
      <c r="C7" s="33"/>
    </row>
    <row r="8" spans="1:3" ht="14.5" x14ac:dyDescent="0.25">
      <c r="A8" s="33" t="s">
        <v>19</v>
      </c>
    </row>
    <row r="10" spans="1:3" ht="263.5" customHeight="1" x14ac:dyDescent="0.25">
      <c r="A10" s="33"/>
    </row>
    <row r="11" spans="1:3" ht="14.5" x14ac:dyDescent="0.25">
      <c r="A11" s="34" t="s">
        <v>35</v>
      </c>
      <c r="C11" s="10"/>
    </row>
    <row r="12" spans="1:3" ht="14.5" x14ac:dyDescent="0.25">
      <c r="A12" s="32" t="s">
        <v>20</v>
      </c>
    </row>
    <row r="13" spans="1:3" ht="263.25" customHeight="1" x14ac:dyDescent="0.25">
      <c r="A13" s="32"/>
    </row>
    <row r="14" spans="1:3" ht="17.5" x14ac:dyDescent="0.25">
      <c r="C14" s="38" t="s">
        <v>21</v>
      </c>
    </row>
    <row r="15" spans="1:3" ht="14.5" x14ac:dyDescent="0.25">
      <c r="C15" s="33" t="s">
        <v>22</v>
      </c>
    </row>
    <row r="16" spans="1:3" ht="14.5" x14ac:dyDescent="0.25">
      <c r="C16" s="33" t="s">
        <v>23</v>
      </c>
    </row>
    <row r="17" spans="1:3" ht="14.5" x14ac:dyDescent="0.25">
      <c r="C17" s="33" t="s">
        <v>24</v>
      </c>
    </row>
    <row r="18" spans="1:3" ht="14.5" x14ac:dyDescent="0.25">
      <c r="A18" s="32" t="s">
        <v>25</v>
      </c>
    </row>
    <row r="19" spans="1:3" ht="218.25" customHeight="1" x14ac:dyDescent="0.25"/>
    <row r="20" spans="1:3" ht="14.5" x14ac:dyDescent="0.25">
      <c r="A20" s="34" t="s">
        <v>36</v>
      </c>
      <c r="C20" s="10"/>
    </row>
    <row r="21" spans="1:3" ht="14.5" x14ac:dyDescent="0.25">
      <c r="A21" s="32" t="s">
        <v>26</v>
      </c>
    </row>
    <row r="22" spans="1:3" ht="14.5" x14ac:dyDescent="0.25">
      <c r="A22" s="32"/>
    </row>
    <row r="23" spans="1:3" ht="14.5" x14ac:dyDescent="0.25">
      <c r="A23" s="32"/>
    </row>
    <row r="24" spans="1:3" ht="14.5" x14ac:dyDescent="0.25">
      <c r="A24" s="32"/>
    </row>
    <row r="25" spans="1:3" ht="14.5" x14ac:dyDescent="0.25">
      <c r="A25" s="32" t="s">
        <v>20</v>
      </c>
    </row>
    <row r="26" spans="1:3" ht="14.5" x14ac:dyDescent="0.25">
      <c r="A26" s="32"/>
    </row>
    <row r="27" spans="1:3" ht="14.5" x14ac:dyDescent="0.25">
      <c r="A27" s="32"/>
    </row>
    <row r="29" spans="1:3" ht="14.5" x14ac:dyDescent="0.25">
      <c r="A29" s="32"/>
    </row>
    <row r="30" spans="1:3" ht="14.5" x14ac:dyDescent="0.25">
      <c r="A30" s="32"/>
    </row>
    <row r="31" spans="1:3" ht="63.75" customHeight="1" x14ac:dyDescent="0.25">
      <c r="A31" s="32"/>
    </row>
    <row r="32" spans="1:3" ht="14.5" x14ac:dyDescent="0.25">
      <c r="A32" s="34" t="s">
        <v>27</v>
      </c>
    </row>
    <row r="34" spans="1:3" ht="14.5" x14ac:dyDescent="0.25">
      <c r="A34" s="34" t="s">
        <v>28</v>
      </c>
    </row>
    <row r="35" spans="1:3" ht="183.75" customHeight="1" x14ac:dyDescent="0.25">
      <c r="A35" s="34"/>
    </row>
    <row r="37" spans="1:3" ht="14.5" x14ac:dyDescent="0.25">
      <c r="A37" s="34"/>
    </row>
    <row r="38" spans="1:3" ht="14.5" x14ac:dyDescent="0.25">
      <c r="A38" s="34"/>
    </row>
    <row r="40" spans="1:3" ht="14.5" x14ac:dyDescent="0.25">
      <c r="A40" s="32"/>
    </row>
    <row r="41" spans="1:3" ht="78" customHeight="1" x14ac:dyDescent="0.25">
      <c r="A41" s="32"/>
    </row>
    <row r="42" spans="1:3" ht="17.5" x14ac:dyDescent="0.25">
      <c r="C42" s="38" t="s">
        <v>29</v>
      </c>
    </row>
    <row r="43" spans="1:3" ht="14.5" x14ac:dyDescent="0.25">
      <c r="C43" s="33" t="s">
        <v>30</v>
      </c>
    </row>
    <row r="44" spans="1:3" ht="14.5" x14ac:dyDescent="0.25">
      <c r="C44" s="33" t="s">
        <v>31</v>
      </c>
    </row>
    <row r="45" spans="1:3" ht="14.5" x14ac:dyDescent="0.25">
      <c r="C45" s="33" t="s">
        <v>37</v>
      </c>
    </row>
    <row r="46" spans="1:3" ht="14.5" x14ac:dyDescent="0.25">
      <c r="C46" s="33"/>
    </row>
    <row r="47" spans="1:3" ht="14.5" x14ac:dyDescent="0.25">
      <c r="A47" s="34" t="s">
        <v>38</v>
      </c>
    </row>
    <row r="49" spans="1:3" ht="401.25" customHeight="1" x14ac:dyDescent="0.25">
      <c r="A49" s="32"/>
    </row>
    <row r="50" spans="1:3" ht="17.5" x14ac:dyDescent="0.25">
      <c r="C50" s="38" t="s">
        <v>32</v>
      </c>
    </row>
    <row r="51" spans="1:3" ht="14.5" x14ac:dyDescent="0.25">
      <c r="C51" s="35" t="s">
        <v>33</v>
      </c>
    </row>
    <row r="52" spans="1:3" ht="14.5" x14ac:dyDescent="0.25">
      <c r="C52" s="36" t="s">
        <v>39</v>
      </c>
    </row>
    <row r="53" spans="1:3" ht="14.5" x14ac:dyDescent="0.25">
      <c r="C53" s="36" t="s">
        <v>40</v>
      </c>
    </row>
    <row r="54" spans="1:3" ht="14.5" x14ac:dyDescent="0.25">
      <c r="A54" s="36"/>
    </row>
    <row r="55" spans="1:3" ht="14.5" x14ac:dyDescent="0.25">
      <c r="A55" s="37"/>
    </row>
    <row r="56" spans="1:3" ht="14.5" x14ac:dyDescent="0.25">
      <c r="A56" s="37"/>
    </row>
    <row r="57" spans="1:3" ht="14.5" x14ac:dyDescent="0.25">
      <c r="A57" s="35"/>
    </row>
    <row r="58" spans="1:3" ht="14.5" x14ac:dyDescent="0.25">
      <c r="A58" s="35"/>
    </row>
    <row r="59" spans="1:3" ht="14.5" x14ac:dyDescent="0.25">
      <c r="A59" s="32"/>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CCFF"/>
    <pageSetUpPr fitToPage="1"/>
  </sheetPr>
  <dimension ref="B2:AO53"/>
  <sheetViews>
    <sheetView showGridLines="0" showRowColHeaders="0" zoomScale="75" zoomScaleNormal="75" workbookViewId="0">
      <selection activeCell="Q22" sqref="Q22:T27"/>
    </sheetView>
  </sheetViews>
  <sheetFormatPr defaultColWidth="9.1796875" defaultRowHeight="15.5" x14ac:dyDescent="0.25"/>
  <cols>
    <col min="1" max="2" width="5.54296875" style="258" customWidth="1"/>
    <col min="3" max="3" width="25.7265625" style="258" customWidth="1"/>
    <col min="4" max="7" width="9.1796875" style="258"/>
    <col min="8" max="8" width="9.1796875" style="260" hidden="1" customWidth="1"/>
    <col min="9" max="9" width="9.1796875" style="260"/>
    <col min="10" max="14" width="9.1796875" style="258"/>
    <col min="15" max="15" width="5.54296875" style="258" customWidth="1"/>
    <col min="16" max="16" width="39.26953125" style="261" customWidth="1"/>
    <col min="17" max="26" width="12.54296875" style="261" customWidth="1"/>
    <col min="27" max="27" width="10.54296875" style="260" customWidth="1"/>
    <col min="28" max="28" width="5.54296875" style="258" customWidth="1"/>
    <col min="29" max="33" width="9.1796875" style="258"/>
    <col min="34" max="34" width="9.1796875" style="258" customWidth="1"/>
    <col min="35" max="35" width="9.1796875" style="258"/>
    <col min="36" max="36" width="9.1796875" style="259"/>
    <col min="37" max="16384" width="9.1796875" style="258"/>
  </cols>
  <sheetData>
    <row r="2" spans="2:36" ht="29.5" x14ac:dyDescent="0.25">
      <c r="B2" s="1026" t="s">
        <v>156</v>
      </c>
      <c r="C2" s="1026"/>
      <c r="D2" s="1026"/>
      <c r="E2" s="1026"/>
      <c r="F2" s="1026"/>
      <c r="G2" s="1026"/>
      <c r="H2" s="1026"/>
      <c r="I2" s="1026"/>
      <c r="J2" s="1026"/>
      <c r="K2" s="1026"/>
      <c r="L2" s="1026"/>
      <c r="M2" s="1026"/>
      <c r="N2" s="1026"/>
      <c r="P2" s="1026" t="s">
        <v>157</v>
      </c>
      <c r="Q2" s="1026"/>
      <c r="R2" s="1026"/>
      <c r="S2" s="1026"/>
      <c r="T2" s="1026"/>
      <c r="U2" s="1026"/>
      <c r="V2" s="1026"/>
      <c r="W2" s="1026"/>
      <c r="X2" s="1026"/>
      <c r="Y2" s="1026"/>
      <c r="Z2" s="1026"/>
      <c r="AA2" s="1026"/>
      <c r="AC2" s="1026" t="s">
        <v>158</v>
      </c>
      <c r="AD2" s="1026"/>
      <c r="AE2" s="1026"/>
      <c r="AF2" s="1026"/>
      <c r="AG2" s="1026"/>
      <c r="AH2" s="1026"/>
      <c r="AI2" s="1026"/>
    </row>
    <row r="3" spans="2:36" ht="15.75" customHeight="1" thickBot="1" x14ac:dyDescent="0.3"/>
    <row r="4" spans="2:36" s="267" customFormat="1" ht="20.149999999999999" customHeight="1" x14ac:dyDescent="0.25">
      <c r="B4" s="262"/>
      <c r="C4" s="1027" t="s">
        <v>159</v>
      </c>
      <c r="D4" s="1029"/>
      <c r="E4" s="1031" t="s">
        <v>160</v>
      </c>
      <c r="F4" s="1031" t="s">
        <v>161</v>
      </c>
      <c r="G4" s="1033" t="s">
        <v>162</v>
      </c>
      <c r="H4" s="263"/>
      <c r="I4" s="264"/>
      <c r="J4" s="265"/>
      <c r="K4" s="265"/>
      <c r="L4" s="265"/>
      <c r="M4" s="265"/>
      <c r="N4" s="266"/>
      <c r="P4" s="1035" t="s">
        <v>1</v>
      </c>
      <c r="Q4" s="1036"/>
      <c r="R4" s="268" t="s">
        <v>332</v>
      </c>
      <c r="S4" s="269"/>
      <c r="T4" s="269"/>
      <c r="U4" s="269"/>
      <c r="V4" s="269"/>
      <c r="W4" s="269"/>
      <c r="X4" s="269"/>
      <c r="Y4" s="269"/>
      <c r="Z4" s="269"/>
      <c r="AA4" s="266"/>
      <c r="AC4" s="270" t="s">
        <v>163</v>
      </c>
      <c r="AD4" s="271"/>
      <c r="AE4" s="271"/>
      <c r="AF4" s="271"/>
      <c r="AG4" s="271"/>
      <c r="AH4" s="271"/>
      <c r="AI4" s="272"/>
      <c r="AJ4" s="273">
        <v>1.2</v>
      </c>
    </row>
    <row r="5" spans="2:36" ht="20.149999999999999" customHeight="1" thickBot="1" x14ac:dyDescent="0.3">
      <c r="B5" s="274"/>
      <c r="C5" s="1028"/>
      <c r="D5" s="1030"/>
      <c r="E5" s="1032"/>
      <c r="F5" s="1032"/>
      <c r="G5" s="1034"/>
      <c r="H5" s="275"/>
      <c r="I5" s="276"/>
      <c r="J5" s="277"/>
      <c r="K5" s="277"/>
      <c r="L5" s="277"/>
      <c r="M5" s="277"/>
      <c r="N5" s="278"/>
      <c r="P5" s="1037" t="s">
        <v>164</v>
      </c>
      <c r="Q5" s="1038"/>
      <c r="R5" s="279">
        <v>25</v>
      </c>
      <c r="S5" s="280"/>
      <c r="T5" s="280"/>
      <c r="U5" s="280"/>
      <c r="V5" s="280"/>
      <c r="W5" s="280"/>
      <c r="X5" s="280"/>
      <c r="Y5" s="280"/>
      <c r="Z5" s="280"/>
      <c r="AA5" s="281"/>
      <c r="AC5" s="282" t="s">
        <v>165</v>
      </c>
      <c r="AD5" s="283"/>
      <c r="AE5" s="283"/>
      <c r="AF5" s="283"/>
      <c r="AG5" s="283"/>
      <c r="AH5" s="283"/>
      <c r="AI5" s="284"/>
    </row>
    <row r="6" spans="2:36" ht="20.149999999999999" customHeight="1" thickBot="1" x14ac:dyDescent="0.3">
      <c r="B6" s="274"/>
      <c r="C6" s="1028"/>
      <c r="D6" s="1030"/>
      <c r="E6" s="1032"/>
      <c r="F6" s="1032"/>
      <c r="G6" s="1034"/>
      <c r="H6" s="275"/>
      <c r="I6" s="276"/>
      <c r="J6" s="277"/>
      <c r="K6" s="277"/>
      <c r="L6" s="277"/>
      <c r="M6" s="277"/>
      <c r="N6" s="278"/>
      <c r="AB6" s="259"/>
      <c r="AJ6" s="285">
        <v>1.2</v>
      </c>
    </row>
    <row r="7" spans="2:36" ht="20.149999999999999" customHeight="1" x14ac:dyDescent="0.25">
      <c r="B7" s="274"/>
      <c r="C7" s="1028"/>
      <c r="D7" s="1030"/>
      <c r="E7" s="1032"/>
      <c r="F7" s="1032"/>
      <c r="G7" s="1034"/>
      <c r="H7" s="275"/>
      <c r="I7" s="276"/>
      <c r="J7" s="277"/>
      <c r="K7" s="277"/>
      <c r="L7" s="277"/>
      <c r="M7" s="277"/>
      <c r="N7" s="278"/>
      <c r="P7" s="1043" t="s">
        <v>166</v>
      </c>
      <c r="Q7" s="1044"/>
      <c r="R7" s="1044"/>
      <c r="S7" s="1044"/>
      <c r="T7" s="1044"/>
      <c r="U7" s="1044"/>
      <c r="V7" s="1044"/>
      <c r="W7" s="1044"/>
      <c r="X7" s="1044"/>
      <c r="Y7" s="1044"/>
      <c r="Z7" s="1044"/>
      <c r="AA7" s="1045"/>
      <c r="AB7" s="259"/>
      <c r="AC7" s="1046" t="s">
        <v>167</v>
      </c>
      <c r="AD7" s="1048" t="s">
        <v>168</v>
      </c>
      <c r="AE7" s="1048" t="s">
        <v>169</v>
      </c>
      <c r="AF7" s="1048" t="s">
        <v>170</v>
      </c>
      <c r="AG7" s="1048" t="s">
        <v>171</v>
      </c>
      <c r="AH7" s="1039" t="s">
        <v>172</v>
      </c>
      <c r="AI7" s="1041" t="s">
        <v>173</v>
      </c>
      <c r="AJ7" s="286"/>
    </row>
    <row r="8" spans="2:36" ht="20.149999999999999" customHeight="1" x14ac:dyDescent="0.25">
      <c r="B8" s="274"/>
      <c r="C8" s="1028"/>
      <c r="D8" s="1030"/>
      <c r="E8" s="1032"/>
      <c r="F8" s="1032"/>
      <c r="G8" s="1034"/>
      <c r="H8" s="275"/>
      <c r="I8" s="276"/>
      <c r="J8" s="277"/>
      <c r="K8" s="277"/>
      <c r="L8" s="277"/>
      <c r="M8" s="277"/>
      <c r="N8" s="278"/>
      <c r="P8" s="287" t="s">
        <v>174</v>
      </c>
      <c r="Q8" s="277"/>
      <c r="R8" s="275"/>
      <c r="S8" s="288"/>
      <c r="T8" s="288"/>
      <c r="U8" s="288"/>
      <c r="V8" s="288"/>
      <c r="W8" s="288"/>
      <c r="X8" s="288"/>
      <c r="Y8" s="288"/>
      <c r="Z8" s="288"/>
      <c r="AA8" s="289"/>
      <c r="AB8" s="290">
        <v>1</v>
      </c>
      <c r="AC8" s="1047"/>
      <c r="AD8" s="1040"/>
      <c r="AE8" s="1040"/>
      <c r="AF8" s="1040"/>
      <c r="AG8" s="1040"/>
      <c r="AH8" s="1040"/>
      <c r="AI8" s="1042"/>
      <c r="AJ8" s="286"/>
    </row>
    <row r="9" spans="2:36" ht="20.149999999999999" customHeight="1" thickBot="1" x14ac:dyDescent="0.3">
      <c r="B9" s="274"/>
      <c r="C9" s="1028" t="s">
        <v>175</v>
      </c>
      <c r="D9" s="1030" t="s">
        <v>176</v>
      </c>
      <c r="E9" s="1032" t="s">
        <v>177</v>
      </c>
      <c r="F9" s="1032" t="s">
        <v>178</v>
      </c>
      <c r="G9" s="1034" t="s">
        <v>179</v>
      </c>
      <c r="H9" s="275"/>
      <c r="I9" s="276"/>
      <c r="J9" s="277"/>
      <c r="K9" s="277"/>
      <c r="L9" s="277"/>
      <c r="M9" s="277"/>
      <c r="N9" s="278"/>
      <c r="P9" s="287" t="s">
        <v>180</v>
      </c>
      <c r="Q9" s="277"/>
      <c r="R9" s="275"/>
      <c r="S9" s="288"/>
      <c r="T9" s="288"/>
      <c r="U9" s="288"/>
      <c r="V9" s="288"/>
      <c r="W9" s="288"/>
      <c r="X9" s="288"/>
      <c r="Y9" s="288"/>
      <c r="Z9" s="288"/>
      <c r="AA9" s="289"/>
      <c r="AB9" s="259"/>
      <c r="AC9" s="291" t="str">
        <f>DIVERSITEIT!$R$4</f>
        <v>8B</v>
      </c>
      <c r="AD9" s="292">
        <f>DIVERSITEIT!$AA$15</f>
        <v>25</v>
      </c>
      <c r="AE9" s="292">
        <f>DIVERSITEIT!$AA$29</f>
        <v>0</v>
      </c>
      <c r="AF9" s="292">
        <f>DIVERSITEIT!$AA$40</f>
        <v>0</v>
      </c>
      <c r="AG9" s="292">
        <f>DIVERSITEIT!$AA$48</f>
        <v>0</v>
      </c>
      <c r="AH9" s="293">
        <f>IF(AB8=1,AD9+(AE9*1.5)+(AF9*2)+(AG9*4),IF(AB8=2,(AD9+(AE9*1.5)+(AF9*2)+(AG9*4))*1.1,IF(AB8=3,(AD9+(AE9*1.5)+(AF9*2)+(AG9*4))*1.15,IF(AB8=4,(AD9+(AE9*1.5)+(AF9*2)+(AG9*4))*1.2))))</f>
        <v>25</v>
      </c>
      <c r="AI9" s="294">
        <f>AA52</f>
        <v>1.0416666666666667</v>
      </c>
      <c r="AJ9" s="286"/>
    </row>
    <row r="10" spans="2:36" ht="20.149999999999999" customHeight="1" x14ac:dyDescent="0.25">
      <c r="B10" s="274"/>
      <c r="C10" s="1028"/>
      <c r="D10" s="1030"/>
      <c r="E10" s="1032"/>
      <c r="F10" s="1032"/>
      <c r="G10" s="1034"/>
      <c r="H10" s="275"/>
      <c r="I10" s="276"/>
      <c r="J10" s="277"/>
      <c r="K10" s="277"/>
      <c r="L10" s="277"/>
      <c r="M10" s="277"/>
      <c r="N10" s="278"/>
      <c r="P10" s="287" t="s">
        <v>181</v>
      </c>
      <c r="Q10" s="277"/>
      <c r="R10" s="275"/>
      <c r="S10" s="288"/>
      <c r="T10" s="288"/>
      <c r="U10" s="288"/>
      <c r="V10" s="288"/>
      <c r="W10" s="288"/>
      <c r="X10" s="288"/>
      <c r="Y10" s="288"/>
      <c r="Z10" s="288"/>
      <c r="AA10" s="289"/>
      <c r="AC10" s="295"/>
      <c r="AD10" s="295"/>
      <c r="AE10" s="295"/>
      <c r="AF10" s="295"/>
      <c r="AG10" s="295"/>
      <c r="AH10" s="296"/>
      <c r="AI10" s="297"/>
      <c r="AJ10" s="286"/>
    </row>
    <row r="11" spans="2:36" ht="20.149999999999999" customHeight="1" thickBot="1" x14ac:dyDescent="0.3">
      <c r="B11" s="274"/>
      <c r="C11" s="1028"/>
      <c r="D11" s="1030"/>
      <c r="E11" s="1032"/>
      <c r="F11" s="1032"/>
      <c r="G11" s="1034"/>
      <c r="H11" s="275"/>
      <c r="I11" s="276"/>
      <c r="J11" s="277"/>
      <c r="K11" s="277"/>
      <c r="L11" s="277"/>
      <c r="M11" s="277"/>
      <c r="N11" s="278"/>
      <c r="P11" s="298" t="s">
        <v>182</v>
      </c>
      <c r="Q11" s="299"/>
      <c r="R11" s="300"/>
      <c r="S11" s="301"/>
      <c r="T11" s="301"/>
      <c r="U11" s="301"/>
      <c r="V11" s="301"/>
      <c r="W11" s="301"/>
      <c r="X11" s="301"/>
      <c r="Y11" s="301"/>
      <c r="Z11" s="301"/>
      <c r="AA11" s="302"/>
      <c r="AC11" s="295"/>
      <c r="AD11" s="295"/>
      <c r="AE11" s="295"/>
      <c r="AF11" s="295"/>
      <c r="AG11" s="295"/>
      <c r="AH11" s="296"/>
      <c r="AI11" s="297"/>
      <c r="AJ11" s="286"/>
    </row>
    <row r="12" spans="2:36" ht="20.149999999999999" customHeight="1" thickBot="1" x14ac:dyDescent="0.3">
      <c r="B12" s="303"/>
      <c r="C12" s="1061"/>
      <c r="D12" s="1030"/>
      <c r="E12" s="1032"/>
      <c r="F12" s="1032"/>
      <c r="G12" s="1034"/>
      <c r="H12" s="275"/>
      <c r="I12" s="276"/>
      <c r="J12" s="277"/>
      <c r="K12" s="277"/>
      <c r="L12" s="277"/>
      <c r="M12" s="277"/>
      <c r="N12" s="278"/>
      <c r="P12" s="288"/>
      <c r="Q12" s="288"/>
      <c r="R12" s="288"/>
      <c r="S12" s="288"/>
      <c r="T12" s="288"/>
      <c r="U12" s="288"/>
      <c r="V12" s="288"/>
      <c r="W12" s="288"/>
      <c r="X12" s="288"/>
      <c r="Y12" s="288"/>
      <c r="Z12" s="288"/>
      <c r="AA12" s="275"/>
      <c r="AC12" s="295"/>
      <c r="AD12" s="295"/>
      <c r="AE12" s="295"/>
      <c r="AF12" s="295"/>
      <c r="AG12" s="295"/>
      <c r="AH12" s="296"/>
      <c r="AI12" s="297"/>
      <c r="AJ12" s="286"/>
    </row>
    <row r="13" spans="2:36" ht="20.149999999999999" customHeight="1" thickBot="1" x14ac:dyDescent="0.4">
      <c r="B13" s="1052" t="s">
        <v>5</v>
      </c>
      <c r="C13" s="1053"/>
      <c r="D13" s="304" t="s">
        <v>168</v>
      </c>
      <c r="E13" s="305" t="s">
        <v>169</v>
      </c>
      <c r="F13" s="305" t="s">
        <v>170</v>
      </c>
      <c r="G13" s="306" t="s">
        <v>171</v>
      </c>
      <c r="H13" s="275" t="s">
        <v>183</v>
      </c>
      <c r="I13" s="276" t="s">
        <v>183</v>
      </c>
      <c r="J13" s="277"/>
      <c r="K13" s="277"/>
      <c r="L13" s="277"/>
      <c r="M13" s="277"/>
      <c r="N13" s="278"/>
      <c r="AC13" s="1054" t="s">
        <v>184</v>
      </c>
      <c r="AD13" s="1055"/>
      <c r="AE13" s="1055"/>
      <c r="AF13" s="1055"/>
      <c r="AG13" s="1055"/>
      <c r="AH13" s="1055"/>
      <c r="AI13" s="1056"/>
    </row>
    <row r="14" spans="2:36" ht="20.149999999999999" customHeight="1" x14ac:dyDescent="0.25">
      <c r="B14" s="307">
        <v>1</v>
      </c>
      <c r="C14" s="308" t="str">
        <f>BEGINBLAD!C5</f>
        <v>leerling 1</v>
      </c>
      <c r="D14" s="274"/>
      <c r="E14" s="277"/>
      <c r="F14" s="277"/>
      <c r="G14" s="278"/>
      <c r="H14" s="309">
        <v>1</v>
      </c>
      <c r="I14" s="310">
        <f>IF(C14=0,"",IF(C14="","",IF(C14&gt;0,H14)))</f>
        <v>1</v>
      </c>
      <c r="J14" s="277" t="str">
        <f>IF(C14=0,"",IF(I14="","",IF(I14&lt;2,"",IF(I14&gt;1,"noteer de naam in de tabel hiernaast"))))</f>
        <v/>
      </c>
      <c r="K14" s="277"/>
      <c r="L14" s="277"/>
      <c r="M14" s="277"/>
      <c r="N14" s="278"/>
      <c r="P14" s="311" t="s">
        <v>185</v>
      </c>
      <c r="Q14" s="312">
        <v>1</v>
      </c>
      <c r="R14" s="312">
        <v>2</v>
      </c>
      <c r="S14" s="312">
        <v>3</v>
      </c>
      <c r="T14" s="312">
        <v>4</v>
      </c>
      <c r="U14" s="312">
        <v>5</v>
      </c>
      <c r="V14" s="312">
        <v>6</v>
      </c>
      <c r="W14" s="312">
        <v>7</v>
      </c>
      <c r="X14" s="312">
        <v>8</v>
      </c>
      <c r="Y14" s="312">
        <v>9</v>
      </c>
      <c r="Z14" s="312">
        <v>10</v>
      </c>
      <c r="AA14" s="313"/>
      <c r="AC14" s="314" t="s">
        <v>2</v>
      </c>
      <c r="AD14" s="315" t="str">
        <f>$AC$9</f>
        <v>8B</v>
      </c>
      <c r="AE14" s="316"/>
      <c r="AF14" s="316"/>
      <c r="AG14" s="1057" t="s">
        <v>186</v>
      </c>
      <c r="AH14" s="1058"/>
      <c r="AI14" s="317" t="s">
        <v>187</v>
      </c>
    </row>
    <row r="15" spans="2:36" ht="20.149999999999999" customHeight="1" thickBot="1" x14ac:dyDescent="0.3">
      <c r="B15" s="307">
        <v>2</v>
      </c>
      <c r="C15" s="308" t="str">
        <f>BEGINBLAD!C6</f>
        <v>leerling 2</v>
      </c>
      <c r="D15" s="274"/>
      <c r="E15" s="277"/>
      <c r="F15" s="277"/>
      <c r="G15" s="278"/>
      <c r="H15" s="309">
        <v>2</v>
      </c>
      <c r="I15" s="310">
        <f t="shared" ref="I15:I49" si="0">IF(C15=0,"",IF(C15="","",IF(C15&gt;0,H15)))</f>
        <v>2</v>
      </c>
      <c r="J15" s="277" t="str">
        <f t="shared" ref="J15:J49" si="1">IF(C15=0,"",IF(I15="","",IF(I15&lt;2,"",IF(I15&gt;1,"noteer de naam in de tabel hiernaast"))))</f>
        <v>noteer de naam in de tabel hiernaast</v>
      </c>
      <c r="K15" s="277"/>
      <c r="L15" s="277"/>
      <c r="M15" s="277"/>
      <c r="N15" s="278"/>
      <c r="P15" s="318" t="s">
        <v>0</v>
      </c>
      <c r="Q15" s="319" t="s">
        <v>188</v>
      </c>
      <c r="R15" s="320"/>
      <c r="S15" s="320"/>
      <c r="T15" s="320"/>
      <c r="U15" s="320"/>
      <c r="V15" s="320"/>
      <c r="W15" s="320"/>
      <c r="X15" s="320"/>
      <c r="Y15" s="320"/>
      <c r="Z15" s="320"/>
      <c r="AA15" s="321">
        <f>R5-(AA29+AA40+AA48)</f>
        <v>25</v>
      </c>
      <c r="AC15" s="322" t="s">
        <v>189</v>
      </c>
      <c r="AD15" s="323"/>
      <c r="AE15" s="323"/>
      <c r="AF15" s="323"/>
      <c r="AG15" s="1059">
        <f>IF(AG17="","",IF(AG17&lt;&gt;0,AG17*1.692))</f>
        <v>-0.2678999999999998</v>
      </c>
      <c r="AH15" s="1060"/>
      <c r="AI15" s="324">
        <f>AG15*5</f>
        <v>-1.339499999999999</v>
      </c>
    </row>
    <row r="16" spans="2:36" ht="20.149999999999999" customHeight="1" thickBot="1" x14ac:dyDescent="0.3">
      <c r="B16" s="307">
        <v>3</v>
      </c>
      <c r="C16" s="308" t="str">
        <f>BEGINBLAD!C7</f>
        <v>leerling 3</v>
      </c>
      <c r="D16" s="274"/>
      <c r="E16" s="277"/>
      <c r="F16" s="277"/>
      <c r="G16" s="278"/>
      <c r="H16" s="309">
        <v>1</v>
      </c>
      <c r="I16" s="310">
        <f t="shared" si="0"/>
        <v>1</v>
      </c>
      <c r="J16" s="277" t="str">
        <f t="shared" si="1"/>
        <v/>
      </c>
      <c r="K16" s="277"/>
      <c r="L16" s="277"/>
      <c r="M16" s="277"/>
      <c r="N16" s="278"/>
      <c r="AC16" s="322" t="s">
        <v>190</v>
      </c>
      <c r="AD16" s="323"/>
      <c r="AE16" s="323"/>
      <c r="AF16" s="323"/>
      <c r="AG16" s="1059">
        <f>IF(AG17="","",IF(AG17&lt;&gt;0,AG17*1.462))</f>
        <v>-0.23148333333333315</v>
      </c>
      <c r="AH16" s="1060"/>
      <c r="AI16" s="324">
        <f>AG16*5</f>
        <v>-1.1574166666666659</v>
      </c>
    </row>
    <row r="17" spans="2:35" ht="20.149999999999999" customHeight="1" x14ac:dyDescent="0.25">
      <c r="B17" s="307">
        <v>4</v>
      </c>
      <c r="C17" s="308" t="str">
        <f>BEGINBLAD!C8</f>
        <v>leerling 4</v>
      </c>
      <c r="D17" s="274"/>
      <c r="E17" s="277"/>
      <c r="F17" s="277"/>
      <c r="G17" s="278"/>
      <c r="H17" s="309">
        <v>1</v>
      </c>
      <c r="I17" s="310">
        <f t="shared" si="0"/>
        <v>1</v>
      </c>
      <c r="J17" s="277" t="str">
        <f t="shared" si="1"/>
        <v/>
      </c>
      <c r="K17" s="277"/>
      <c r="L17" s="277"/>
      <c r="M17" s="277"/>
      <c r="N17" s="278"/>
      <c r="P17" s="311" t="s">
        <v>191</v>
      </c>
      <c r="Q17" s="325" t="s">
        <v>192</v>
      </c>
      <c r="R17" s="325"/>
      <c r="S17" s="325"/>
      <c r="T17" s="325"/>
      <c r="U17" s="325"/>
      <c r="V17" s="325"/>
      <c r="W17" s="325"/>
      <c r="X17" s="325"/>
      <c r="Y17" s="325"/>
      <c r="Z17" s="325"/>
      <c r="AA17" s="313"/>
      <c r="AC17" s="322" t="s">
        <v>193</v>
      </c>
      <c r="AD17" s="323"/>
      <c r="AE17" s="323"/>
      <c r="AF17" s="323"/>
      <c r="AG17" s="1059">
        <f>IF($AI$9="","",IF($AI$9&lt;&gt;0,$AI$9-1.2))</f>
        <v>-0.15833333333333321</v>
      </c>
      <c r="AH17" s="1060"/>
      <c r="AI17" s="324">
        <f>AG17*5</f>
        <v>-0.79166666666666607</v>
      </c>
    </row>
    <row r="18" spans="2:35" ht="20.149999999999999" customHeight="1" thickBot="1" x14ac:dyDescent="0.3">
      <c r="B18" s="307">
        <v>5</v>
      </c>
      <c r="C18" s="308" t="str">
        <f>BEGINBLAD!C9</f>
        <v>leerling 5</v>
      </c>
      <c r="D18" s="274"/>
      <c r="E18" s="277"/>
      <c r="F18" s="277"/>
      <c r="G18" s="278"/>
      <c r="H18" s="309">
        <v>2</v>
      </c>
      <c r="I18" s="310">
        <f t="shared" si="0"/>
        <v>2</v>
      </c>
      <c r="J18" s="277" t="str">
        <f t="shared" si="1"/>
        <v>noteer de naam in de tabel hiernaast</v>
      </c>
      <c r="K18" s="277"/>
      <c r="L18" s="277"/>
      <c r="M18" s="277"/>
      <c r="N18" s="278"/>
      <c r="P18" s="326" t="s">
        <v>194</v>
      </c>
      <c r="Q18" s="327"/>
      <c r="R18" s="327"/>
      <c r="S18" s="327"/>
      <c r="T18" s="327"/>
      <c r="U18" s="327"/>
      <c r="V18" s="327"/>
      <c r="W18" s="327"/>
      <c r="X18" s="327"/>
      <c r="Y18" s="327"/>
      <c r="Z18" s="327"/>
      <c r="AA18" s="328">
        <f t="shared" ref="AA18:AA28" si="2">COUNTA(Q18:Z18)</f>
        <v>0</v>
      </c>
      <c r="AC18" s="329" t="s">
        <v>195</v>
      </c>
      <c r="AD18" s="330"/>
      <c r="AE18" s="330"/>
      <c r="AF18" s="330"/>
      <c r="AG18" s="1049">
        <f>IF(AG17="","",IF(AG17&lt;&gt;0,AG17*0.423))</f>
        <v>-6.6974999999999951E-2</v>
      </c>
      <c r="AH18" s="1050"/>
      <c r="AI18" s="331">
        <f>AG18*5</f>
        <v>-0.33487499999999976</v>
      </c>
    </row>
    <row r="19" spans="2:35" ht="20.149999999999999" customHeight="1" x14ac:dyDescent="0.25">
      <c r="B19" s="307">
        <v>6</v>
      </c>
      <c r="C19" s="308" t="str">
        <f>BEGINBLAD!C10</f>
        <v>leerling 6</v>
      </c>
      <c r="D19" s="274"/>
      <c r="E19" s="277"/>
      <c r="F19" s="277"/>
      <c r="G19" s="278"/>
      <c r="H19" s="309">
        <v>1</v>
      </c>
      <c r="I19" s="310">
        <f t="shared" si="0"/>
        <v>1</v>
      </c>
      <c r="J19" s="277" t="str">
        <f t="shared" si="1"/>
        <v/>
      </c>
      <c r="K19" s="277"/>
      <c r="L19" s="277"/>
      <c r="M19" s="277"/>
      <c r="N19" s="278"/>
      <c r="P19" s="326" t="s">
        <v>196</v>
      </c>
      <c r="Q19" s="327"/>
      <c r="R19" s="327"/>
      <c r="S19" s="327"/>
      <c r="T19" s="327"/>
      <c r="U19" s="327"/>
      <c r="V19" s="327"/>
      <c r="W19" s="327"/>
      <c r="X19" s="327"/>
      <c r="Y19" s="327"/>
      <c r="Z19" s="327"/>
      <c r="AA19" s="328">
        <f t="shared" si="2"/>
        <v>0</v>
      </c>
      <c r="AF19" s="332"/>
      <c r="AG19" s="332"/>
      <c r="AH19" s="332"/>
      <c r="AI19" s="333"/>
    </row>
    <row r="20" spans="2:35" ht="20.149999999999999" customHeight="1" x14ac:dyDescent="0.25">
      <c r="B20" s="307">
        <v>7</v>
      </c>
      <c r="C20" s="308" t="str">
        <f>BEGINBLAD!C11</f>
        <v>leerling 7</v>
      </c>
      <c r="D20" s="274"/>
      <c r="E20" s="277"/>
      <c r="F20" s="277"/>
      <c r="G20" s="278"/>
      <c r="H20" s="309">
        <v>1</v>
      </c>
      <c r="I20" s="310">
        <f t="shared" si="0"/>
        <v>1</v>
      </c>
      <c r="J20" s="277" t="str">
        <f t="shared" si="1"/>
        <v/>
      </c>
      <c r="K20" s="277"/>
      <c r="L20" s="277"/>
      <c r="M20" s="277"/>
      <c r="N20" s="278"/>
      <c r="P20" s="326" t="s">
        <v>197</v>
      </c>
      <c r="Q20" s="327"/>
      <c r="R20" s="327"/>
      <c r="S20" s="327"/>
      <c r="T20" s="327"/>
      <c r="U20" s="327"/>
      <c r="V20" s="327"/>
      <c r="W20" s="327"/>
      <c r="X20" s="327"/>
      <c r="Y20" s="327"/>
      <c r="Z20" s="327"/>
      <c r="AA20" s="328">
        <f t="shared" si="2"/>
        <v>0</v>
      </c>
      <c r="AF20" s="332"/>
      <c r="AG20" s="332"/>
      <c r="AH20" s="332"/>
      <c r="AI20" s="333"/>
    </row>
    <row r="21" spans="2:35" ht="20.149999999999999" customHeight="1" x14ac:dyDescent="0.25">
      <c r="B21" s="307">
        <v>8</v>
      </c>
      <c r="C21" s="308" t="str">
        <f>BEGINBLAD!C12</f>
        <v>leerling 8</v>
      </c>
      <c r="D21" s="274"/>
      <c r="E21" s="277"/>
      <c r="F21" s="277"/>
      <c r="G21" s="278"/>
      <c r="H21" s="309">
        <v>2</v>
      </c>
      <c r="I21" s="310">
        <f t="shared" si="0"/>
        <v>2</v>
      </c>
      <c r="J21" s="277" t="str">
        <f t="shared" si="1"/>
        <v>noteer de naam in de tabel hiernaast</v>
      </c>
      <c r="K21" s="277"/>
      <c r="L21" s="277"/>
      <c r="M21" s="277"/>
      <c r="N21" s="278"/>
      <c r="P21" s="326" t="s">
        <v>198</v>
      </c>
      <c r="Q21" s="327"/>
      <c r="R21" s="327"/>
      <c r="S21" s="327"/>
      <c r="T21" s="327"/>
      <c r="U21" s="327"/>
      <c r="V21" s="327"/>
      <c r="W21" s="327"/>
      <c r="X21" s="327"/>
      <c r="Y21" s="327"/>
      <c r="Z21" s="327"/>
      <c r="AA21" s="328">
        <f t="shared" si="2"/>
        <v>0</v>
      </c>
    </row>
    <row r="22" spans="2:35" ht="20.149999999999999" customHeight="1" x14ac:dyDescent="0.25">
      <c r="B22" s="307">
        <v>9</v>
      </c>
      <c r="C22" s="308" t="str">
        <f>BEGINBLAD!C13</f>
        <v>leerling 9</v>
      </c>
      <c r="D22" s="274"/>
      <c r="E22" s="277"/>
      <c r="F22" s="277"/>
      <c r="G22" s="278"/>
      <c r="H22" s="309">
        <v>1</v>
      </c>
      <c r="I22" s="310">
        <f t="shared" si="0"/>
        <v>1</v>
      </c>
      <c r="J22" s="277" t="str">
        <f t="shared" si="1"/>
        <v/>
      </c>
      <c r="K22" s="277"/>
      <c r="L22" s="277"/>
      <c r="M22" s="277"/>
      <c r="N22" s="278"/>
      <c r="P22" s="326" t="s">
        <v>199</v>
      </c>
      <c r="Q22" s="327"/>
      <c r="R22" s="327"/>
      <c r="S22" s="327"/>
      <c r="T22" s="327"/>
      <c r="U22" s="327"/>
      <c r="V22" s="327"/>
      <c r="W22" s="327"/>
      <c r="X22" s="327"/>
      <c r="Y22" s="327"/>
      <c r="Z22" s="327"/>
      <c r="AA22" s="328">
        <f t="shared" si="2"/>
        <v>0</v>
      </c>
    </row>
    <row r="23" spans="2:35" ht="20.149999999999999" customHeight="1" x14ac:dyDescent="0.25">
      <c r="B23" s="307">
        <v>10</v>
      </c>
      <c r="C23" s="308" t="str">
        <f>BEGINBLAD!C14</f>
        <v>leerling 10</v>
      </c>
      <c r="D23" s="274"/>
      <c r="E23" s="277"/>
      <c r="F23" s="277"/>
      <c r="G23" s="278"/>
      <c r="H23" s="309">
        <v>1</v>
      </c>
      <c r="I23" s="310">
        <f t="shared" si="0"/>
        <v>1</v>
      </c>
      <c r="J23" s="277" t="str">
        <f t="shared" si="1"/>
        <v/>
      </c>
      <c r="K23" s="277"/>
      <c r="L23" s="277"/>
      <c r="M23" s="277"/>
      <c r="N23" s="278"/>
      <c r="P23" s="326" t="s">
        <v>200</v>
      </c>
      <c r="Q23" s="327"/>
      <c r="R23" s="327"/>
      <c r="S23" s="327"/>
      <c r="T23" s="327"/>
      <c r="U23" s="327"/>
      <c r="V23" s="327"/>
      <c r="W23" s="327"/>
      <c r="X23" s="327"/>
      <c r="Y23" s="327"/>
      <c r="Z23" s="327"/>
      <c r="AA23" s="328">
        <f>COUNTA(Q23:Z23)</f>
        <v>0</v>
      </c>
    </row>
    <row r="24" spans="2:35" ht="20.149999999999999" customHeight="1" x14ac:dyDescent="0.25">
      <c r="B24" s="307">
        <v>11</v>
      </c>
      <c r="C24" s="308" t="str">
        <f>BEGINBLAD!C15</f>
        <v>leerling 11</v>
      </c>
      <c r="D24" s="274"/>
      <c r="E24" s="277"/>
      <c r="F24" s="277"/>
      <c r="G24" s="278"/>
      <c r="H24" s="309">
        <v>1</v>
      </c>
      <c r="I24" s="310">
        <f t="shared" si="0"/>
        <v>1</v>
      </c>
      <c r="J24" s="277" t="str">
        <f t="shared" si="1"/>
        <v/>
      </c>
      <c r="K24" s="277"/>
      <c r="L24" s="277"/>
      <c r="M24" s="277"/>
      <c r="N24" s="278"/>
      <c r="P24" s="326" t="s">
        <v>201</v>
      </c>
      <c r="Q24" s="327"/>
      <c r="R24" s="327"/>
      <c r="S24" s="327"/>
      <c r="T24" s="327"/>
      <c r="U24" s="327"/>
      <c r="V24" s="327"/>
      <c r="W24" s="327"/>
      <c r="X24" s="327"/>
      <c r="Y24" s="327"/>
      <c r="Z24" s="327"/>
      <c r="AA24" s="328">
        <f t="shared" si="2"/>
        <v>0</v>
      </c>
    </row>
    <row r="25" spans="2:35" ht="20.149999999999999" customHeight="1" x14ac:dyDescent="0.25">
      <c r="B25" s="307">
        <v>12</v>
      </c>
      <c r="C25" s="308" t="str">
        <f>BEGINBLAD!C16</f>
        <v>leerling 12</v>
      </c>
      <c r="D25" s="274"/>
      <c r="E25" s="277"/>
      <c r="F25" s="277"/>
      <c r="G25" s="278"/>
      <c r="H25" s="309">
        <v>1</v>
      </c>
      <c r="I25" s="310">
        <f t="shared" si="0"/>
        <v>1</v>
      </c>
      <c r="J25" s="277" t="str">
        <f t="shared" si="1"/>
        <v/>
      </c>
      <c r="K25" s="277"/>
      <c r="L25" s="277"/>
      <c r="M25" s="277"/>
      <c r="N25" s="278"/>
      <c r="P25" s="326" t="s">
        <v>202</v>
      </c>
      <c r="Q25" s="327"/>
      <c r="R25" s="327"/>
      <c r="S25" s="327"/>
      <c r="T25" s="327"/>
      <c r="U25" s="327"/>
      <c r="V25" s="327"/>
      <c r="W25" s="327"/>
      <c r="X25" s="327"/>
      <c r="Y25" s="327"/>
      <c r="Z25" s="327"/>
      <c r="AA25" s="328">
        <f t="shared" si="2"/>
        <v>0</v>
      </c>
    </row>
    <row r="26" spans="2:35" ht="20.149999999999999" customHeight="1" x14ac:dyDescent="0.25">
      <c r="B26" s="307">
        <v>13</v>
      </c>
      <c r="C26" s="308" t="str">
        <f>BEGINBLAD!C17</f>
        <v>leerling 13</v>
      </c>
      <c r="D26" s="274"/>
      <c r="E26" s="277"/>
      <c r="F26" s="277"/>
      <c r="G26" s="278"/>
      <c r="H26" s="309">
        <v>2</v>
      </c>
      <c r="I26" s="310">
        <f t="shared" si="0"/>
        <v>2</v>
      </c>
      <c r="J26" s="277" t="str">
        <f t="shared" si="1"/>
        <v>noteer de naam in de tabel hiernaast</v>
      </c>
      <c r="K26" s="277"/>
      <c r="L26" s="277"/>
      <c r="M26" s="277"/>
      <c r="N26" s="278"/>
      <c r="P26" s="326" t="s">
        <v>203</v>
      </c>
      <c r="Q26" s="327"/>
      <c r="R26" s="327"/>
      <c r="S26" s="327"/>
      <c r="T26" s="327"/>
      <c r="U26" s="327"/>
      <c r="V26" s="327"/>
      <c r="W26" s="327"/>
      <c r="X26" s="327"/>
      <c r="Y26" s="327"/>
      <c r="Z26" s="327"/>
      <c r="AA26" s="328">
        <f t="shared" si="2"/>
        <v>0</v>
      </c>
    </row>
    <row r="27" spans="2:35" ht="20.149999999999999" customHeight="1" x14ac:dyDescent="0.25">
      <c r="B27" s="307">
        <v>14</v>
      </c>
      <c r="C27" s="308" t="str">
        <f>BEGINBLAD!C18</f>
        <v>leerling 14</v>
      </c>
      <c r="D27" s="274"/>
      <c r="E27" s="277"/>
      <c r="F27" s="277"/>
      <c r="G27" s="278"/>
      <c r="H27" s="309">
        <v>2</v>
      </c>
      <c r="I27" s="310">
        <f t="shared" si="0"/>
        <v>2</v>
      </c>
      <c r="J27" s="277" t="str">
        <f t="shared" si="1"/>
        <v>noteer de naam in de tabel hiernaast</v>
      </c>
      <c r="K27" s="277"/>
      <c r="L27" s="277"/>
      <c r="M27" s="277"/>
      <c r="N27" s="278"/>
      <c r="P27" s="326" t="s">
        <v>204</v>
      </c>
      <c r="Q27" s="327"/>
      <c r="R27" s="327"/>
      <c r="S27" s="327"/>
      <c r="T27" s="327"/>
      <c r="U27" s="327"/>
      <c r="V27" s="327"/>
      <c r="W27" s="327"/>
      <c r="X27" s="327"/>
      <c r="Y27" s="327"/>
      <c r="Z27" s="327"/>
      <c r="AA27" s="328">
        <f t="shared" si="2"/>
        <v>0</v>
      </c>
    </row>
    <row r="28" spans="2:35" ht="20.149999999999999" customHeight="1" x14ac:dyDescent="0.25">
      <c r="B28" s="307">
        <v>15</v>
      </c>
      <c r="C28" s="308" t="str">
        <f>BEGINBLAD!C19</f>
        <v>leerling 15</v>
      </c>
      <c r="D28" s="274"/>
      <c r="E28" s="277"/>
      <c r="F28" s="277"/>
      <c r="G28" s="278"/>
      <c r="H28" s="309">
        <v>1</v>
      </c>
      <c r="I28" s="310">
        <f t="shared" si="0"/>
        <v>1</v>
      </c>
      <c r="J28" s="277" t="str">
        <f t="shared" si="1"/>
        <v/>
      </c>
      <c r="K28" s="277"/>
      <c r="L28" s="277"/>
      <c r="M28" s="277"/>
      <c r="N28" s="278"/>
      <c r="P28" s="334" t="s">
        <v>205</v>
      </c>
      <c r="Q28" s="327"/>
      <c r="R28" s="327"/>
      <c r="S28" s="327"/>
      <c r="T28" s="327"/>
      <c r="U28" s="327"/>
      <c r="V28" s="327"/>
      <c r="W28" s="327"/>
      <c r="X28" s="327"/>
      <c r="Y28" s="327"/>
      <c r="Z28" s="327"/>
      <c r="AA28" s="328">
        <f t="shared" si="2"/>
        <v>0</v>
      </c>
    </row>
    <row r="29" spans="2:35" ht="20.149999999999999" customHeight="1" thickBot="1" x14ac:dyDescent="0.3">
      <c r="B29" s="307">
        <v>16</v>
      </c>
      <c r="C29" s="308" t="str">
        <f>BEGINBLAD!C20</f>
        <v>leerling 16</v>
      </c>
      <c r="D29" s="274"/>
      <c r="E29" s="277"/>
      <c r="F29" s="277"/>
      <c r="G29" s="278"/>
      <c r="H29" s="309">
        <v>1</v>
      </c>
      <c r="I29" s="310">
        <f t="shared" si="0"/>
        <v>1</v>
      </c>
      <c r="J29" s="277" t="str">
        <f t="shared" si="1"/>
        <v/>
      </c>
      <c r="K29" s="277"/>
      <c r="L29" s="277"/>
      <c r="M29" s="277"/>
      <c r="N29" s="278"/>
      <c r="P29" s="335" t="s">
        <v>206</v>
      </c>
      <c r="Q29" s="336"/>
      <c r="R29" s="336"/>
      <c r="S29" s="336"/>
      <c r="T29" s="336"/>
      <c r="U29" s="336"/>
      <c r="V29" s="336"/>
      <c r="W29" s="336"/>
      <c r="X29" s="336"/>
      <c r="Y29" s="336"/>
      <c r="Z29" s="336"/>
      <c r="AA29" s="337">
        <f>SUM(AA21:AA27)</f>
        <v>0</v>
      </c>
    </row>
    <row r="30" spans="2:35" ht="20.149999999999999" customHeight="1" thickBot="1" x14ac:dyDescent="0.3">
      <c r="B30" s="307">
        <v>17</v>
      </c>
      <c r="C30" s="308" t="str">
        <f>BEGINBLAD!C21</f>
        <v>leerling 17</v>
      </c>
      <c r="D30" s="274"/>
      <c r="E30" s="277"/>
      <c r="F30" s="277"/>
      <c r="G30" s="278"/>
      <c r="H30" s="309">
        <v>2</v>
      </c>
      <c r="I30" s="310">
        <f t="shared" si="0"/>
        <v>2</v>
      </c>
      <c r="J30" s="277" t="str">
        <f t="shared" si="1"/>
        <v>noteer de naam in de tabel hiernaast</v>
      </c>
      <c r="K30" s="277"/>
      <c r="L30" s="277"/>
      <c r="M30" s="277"/>
      <c r="N30" s="278"/>
      <c r="P30" s="338"/>
      <c r="Q30" s="338"/>
      <c r="R30" s="338"/>
      <c r="S30" s="338"/>
      <c r="T30" s="338"/>
      <c r="U30" s="338"/>
      <c r="V30" s="338"/>
      <c r="W30" s="338"/>
      <c r="X30" s="338"/>
      <c r="Y30" s="338"/>
      <c r="Z30" s="338"/>
      <c r="AA30" s="275"/>
    </row>
    <row r="31" spans="2:35" ht="20.149999999999999" customHeight="1" x14ac:dyDescent="0.25">
      <c r="B31" s="307">
        <v>18</v>
      </c>
      <c r="C31" s="308" t="str">
        <f>BEGINBLAD!C22</f>
        <v>leerling 18</v>
      </c>
      <c r="D31" s="274"/>
      <c r="E31" s="277"/>
      <c r="F31" s="277"/>
      <c r="G31" s="278"/>
      <c r="H31" s="309">
        <v>1</v>
      </c>
      <c r="I31" s="310">
        <f t="shared" si="0"/>
        <v>1</v>
      </c>
      <c r="J31" s="277" t="str">
        <f t="shared" si="1"/>
        <v/>
      </c>
      <c r="K31" s="277"/>
      <c r="L31" s="277"/>
      <c r="M31" s="277"/>
      <c r="N31" s="278"/>
      <c r="P31" s="311" t="s">
        <v>207</v>
      </c>
      <c r="Q31" s="325" t="s">
        <v>192</v>
      </c>
      <c r="R31" s="325"/>
      <c r="S31" s="325"/>
      <c r="T31" s="325"/>
      <c r="U31" s="325"/>
      <c r="V31" s="325"/>
      <c r="W31" s="325"/>
      <c r="X31" s="325"/>
      <c r="Y31" s="325"/>
      <c r="Z31" s="325"/>
      <c r="AA31" s="313"/>
    </row>
    <row r="32" spans="2:35" ht="20.149999999999999" customHeight="1" x14ac:dyDescent="0.25">
      <c r="B32" s="307">
        <v>19</v>
      </c>
      <c r="C32" s="308" t="str">
        <f>BEGINBLAD!C23</f>
        <v>leerling 19</v>
      </c>
      <c r="D32" s="274"/>
      <c r="E32" s="277"/>
      <c r="F32" s="277"/>
      <c r="G32" s="278"/>
      <c r="H32" s="309">
        <v>2</v>
      </c>
      <c r="I32" s="310">
        <f t="shared" si="0"/>
        <v>2</v>
      </c>
      <c r="J32" s="277" t="str">
        <f t="shared" si="1"/>
        <v>noteer de naam in de tabel hiernaast</v>
      </c>
      <c r="K32" s="277"/>
      <c r="L32" s="277"/>
      <c r="M32" s="277"/>
      <c r="N32" s="278"/>
      <c r="P32" s="326" t="s">
        <v>196</v>
      </c>
      <c r="Q32" s="327"/>
      <c r="R32" s="327"/>
      <c r="S32" s="327"/>
      <c r="T32" s="327"/>
      <c r="U32" s="327"/>
      <c r="V32" s="327"/>
      <c r="W32" s="327"/>
      <c r="X32" s="327"/>
      <c r="Y32" s="327"/>
      <c r="Z32" s="327"/>
      <c r="AA32" s="328">
        <f t="shared" ref="AA32:AA39" si="3">COUNTA(Q32:Z32)</f>
        <v>0</v>
      </c>
    </row>
    <row r="33" spans="2:35" ht="20.149999999999999" customHeight="1" x14ac:dyDescent="0.25">
      <c r="B33" s="307">
        <v>20</v>
      </c>
      <c r="C33" s="308" t="str">
        <f>BEGINBLAD!C24</f>
        <v>leerling 20</v>
      </c>
      <c r="D33" s="274"/>
      <c r="E33" s="277"/>
      <c r="F33" s="277"/>
      <c r="G33" s="278"/>
      <c r="H33" s="309">
        <v>2</v>
      </c>
      <c r="I33" s="310">
        <f t="shared" si="0"/>
        <v>2</v>
      </c>
      <c r="J33" s="277" t="str">
        <f t="shared" si="1"/>
        <v>noteer de naam in de tabel hiernaast</v>
      </c>
      <c r="K33" s="277"/>
      <c r="L33" s="277"/>
      <c r="M33" s="277"/>
      <c r="N33" s="278"/>
      <c r="P33" s="326" t="s">
        <v>197</v>
      </c>
      <c r="Q33" s="327"/>
      <c r="R33" s="327"/>
      <c r="S33" s="327"/>
      <c r="T33" s="327"/>
      <c r="U33" s="327"/>
      <c r="V33" s="327"/>
      <c r="W33" s="327"/>
      <c r="X33" s="327"/>
      <c r="Y33" s="327"/>
      <c r="Z33" s="327"/>
      <c r="AA33" s="328">
        <f t="shared" si="3"/>
        <v>0</v>
      </c>
    </row>
    <row r="34" spans="2:35" ht="20.149999999999999" customHeight="1" x14ac:dyDescent="0.25">
      <c r="B34" s="307">
        <v>21</v>
      </c>
      <c r="C34" s="308" t="str">
        <f>BEGINBLAD!C25</f>
        <v>leerling 21</v>
      </c>
      <c r="D34" s="274"/>
      <c r="E34" s="277"/>
      <c r="F34" s="277"/>
      <c r="G34" s="278"/>
      <c r="H34" s="309">
        <v>2</v>
      </c>
      <c r="I34" s="310">
        <f t="shared" si="0"/>
        <v>2</v>
      </c>
      <c r="J34" s="277" t="str">
        <f t="shared" si="1"/>
        <v>noteer de naam in de tabel hiernaast</v>
      </c>
      <c r="K34" s="277"/>
      <c r="L34" s="277"/>
      <c r="M34" s="277"/>
      <c r="N34" s="278"/>
      <c r="P34" s="326" t="s">
        <v>198</v>
      </c>
      <c r="Q34" s="327"/>
      <c r="R34" s="327"/>
      <c r="S34" s="327"/>
      <c r="T34" s="327"/>
      <c r="U34" s="327"/>
      <c r="V34" s="327"/>
      <c r="W34" s="327"/>
      <c r="X34" s="327"/>
      <c r="Y34" s="327"/>
      <c r="Z34" s="327"/>
      <c r="AA34" s="328">
        <f t="shared" si="3"/>
        <v>0</v>
      </c>
    </row>
    <row r="35" spans="2:35" ht="20.149999999999999" customHeight="1" x14ac:dyDescent="0.25">
      <c r="B35" s="307">
        <v>22</v>
      </c>
      <c r="C35" s="308" t="str">
        <f>BEGINBLAD!C26</f>
        <v>leerling 22</v>
      </c>
      <c r="D35" s="274"/>
      <c r="E35" s="277"/>
      <c r="F35" s="277"/>
      <c r="G35" s="278"/>
      <c r="H35" s="309">
        <v>1</v>
      </c>
      <c r="I35" s="310">
        <f t="shared" si="0"/>
        <v>1</v>
      </c>
      <c r="J35" s="277" t="str">
        <f t="shared" si="1"/>
        <v/>
      </c>
      <c r="K35" s="277"/>
      <c r="L35" s="277"/>
      <c r="M35" s="277"/>
      <c r="N35" s="278"/>
      <c r="P35" s="326" t="s">
        <v>208</v>
      </c>
      <c r="Q35" s="327"/>
      <c r="R35" s="327"/>
      <c r="S35" s="327"/>
      <c r="T35" s="327"/>
      <c r="U35" s="327"/>
      <c r="V35" s="327"/>
      <c r="W35" s="327"/>
      <c r="X35" s="327"/>
      <c r="Y35" s="327"/>
      <c r="Z35" s="327"/>
      <c r="AA35" s="328">
        <f t="shared" si="3"/>
        <v>0</v>
      </c>
    </row>
    <row r="36" spans="2:35" ht="20.149999999999999" customHeight="1" x14ac:dyDescent="0.25">
      <c r="B36" s="307">
        <v>23</v>
      </c>
      <c r="C36" s="308" t="str">
        <f>BEGINBLAD!C27</f>
        <v>leerling 23</v>
      </c>
      <c r="D36" s="274"/>
      <c r="E36" s="277"/>
      <c r="F36" s="277"/>
      <c r="G36" s="278"/>
      <c r="H36" s="309">
        <v>1</v>
      </c>
      <c r="I36" s="310">
        <f t="shared" si="0"/>
        <v>1</v>
      </c>
      <c r="J36" s="277" t="str">
        <f t="shared" si="1"/>
        <v/>
      </c>
      <c r="K36" s="277"/>
      <c r="L36" s="277"/>
      <c r="M36" s="277"/>
      <c r="N36" s="278"/>
      <c r="P36" s="326" t="s">
        <v>209</v>
      </c>
      <c r="Q36" s="327"/>
      <c r="R36" s="327"/>
      <c r="S36" s="327"/>
      <c r="T36" s="327"/>
      <c r="U36" s="327"/>
      <c r="V36" s="327"/>
      <c r="W36" s="327"/>
      <c r="X36" s="327"/>
      <c r="Y36" s="327"/>
      <c r="Z36" s="327"/>
      <c r="AA36" s="328">
        <f t="shared" si="3"/>
        <v>0</v>
      </c>
    </row>
    <row r="37" spans="2:35" ht="20.149999999999999" customHeight="1" x14ac:dyDescent="0.25">
      <c r="B37" s="307">
        <v>24</v>
      </c>
      <c r="C37" s="308" t="str">
        <f>BEGINBLAD!C28</f>
        <v>leerling 24</v>
      </c>
      <c r="D37" s="274"/>
      <c r="E37" s="277"/>
      <c r="F37" s="277"/>
      <c r="G37" s="278"/>
      <c r="H37" s="309">
        <v>2</v>
      </c>
      <c r="I37" s="310">
        <f t="shared" si="0"/>
        <v>2</v>
      </c>
      <c r="J37" s="277" t="str">
        <f t="shared" si="1"/>
        <v>noteer de naam in de tabel hiernaast</v>
      </c>
      <c r="K37" s="277"/>
      <c r="L37" s="277"/>
      <c r="M37" s="277"/>
      <c r="N37" s="278"/>
      <c r="P37" s="326" t="s">
        <v>210</v>
      </c>
      <c r="Q37" s="327"/>
      <c r="R37" s="327"/>
      <c r="S37" s="327"/>
      <c r="T37" s="327"/>
      <c r="U37" s="327"/>
      <c r="V37" s="327"/>
      <c r="W37" s="327"/>
      <c r="X37" s="327"/>
      <c r="Y37" s="327"/>
      <c r="Z37" s="327"/>
      <c r="AA37" s="328">
        <f t="shared" si="3"/>
        <v>0</v>
      </c>
    </row>
    <row r="38" spans="2:35" ht="20.149999999999999" customHeight="1" x14ac:dyDescent="0.25">
      <c r="B38" s="307">
        <v>25</v>
      </c>
      <c r="C38" s="308" t="str">
        <f>BEGINBLAD!C29</f>
        <v>leerling 25</v>
      </c>
      <c r="D38" s="274"/>
      <c r="E38" s="277"/>
      <c r="F38" s="277"/>
      <c r="G38" s="278"/>
      <c r="H38" s="309">
        <v>1</v>
      </c>
      <c r="I38" s="310">
        <f t="shared" si="0"/>
        <v>1</v>
      </c>
      <c r="J38" s="277" t="str">
        <f t="shared" si="1"/>
        <v/>
      </c>
      <c r="K38" s="277"/>
      <c r="L38" s="277"/>
      <c r="M38" s="277"/>
      <c r="N38" s="278"/>
      <c r="P38" s="326" t="s">
        <v>211</v>
      </c>
      <c r="Q38" s="327"/>
      <c r="R38" s="327"/>
      <c r="S38" s="327"/>
      <c r="T38" s="327"/>
      <c r="U38" s="327"/>
      <c r="V38" s="327"/>
      <c r="W38" s="327"/>
      <c r="X38" s="327"/>
      <c r="Y38" s="327"/>
      <c r="Z38" s="327"/>
      <c r="AA38" s="328">
        <f t="shared" si="3"/>
        <v>0</v>
      </c>
    </row>
    <row r="39" spans="2:35" ht="20.149999999999999" customHeight="1" x14ac:dyDescent="0.25">
      <c r="B39" s="307">
        <v>26</v>
      </c>
      <c r="C39" s="308" t="str">
        <f>BEGINBLAD!C30</f>
        <v>leerling 26</v>
      </c>
      <c r="D39" s="274"/>
      <c r="E39" s="277"/>
      <c r="F39" s="277"/>
      <c r="G39" s="278"/>
      <c r="H39" s="309">
        <v>1</v>
      </c>
      <c r="I39" s="310">
        <f t="shared" si="0"/>
        <v>1</v>
      </c>
      <c r="J39" s="277" t="str">
        <f t="shared" si="1"/>
        <v/>
      </c>
      <c r="K39" s="277"/>
      <c r="L39" s="277"/>
      <c r="M39" s="277"/>
      <c r="N39" s="278"/>
      <c r="P39" s="326" t="s">
        <v>212</v>
      </c>
      <c r="Q39" s="327"/>
      <c r="R39" s="327"/>
      <c r="S39" s="327"/>
      <c r="T39" s="327"/>
      <c r="U39" s="327"/>
      <c r="V39" s="327"/>
      <c r="W39" s="327"/>
      <c r="X39" s="327"/>
      <c r="Y39" s="327"/>
      <c r="Z39" s="327"/>
      <c r="AA39" s="328">
        <f t="shared" si="3"/>
        <v>0</v>
      </c>
    </row>
    <row r="40" spans="2:35" ht="20.149999999999999" customHeight="1" thickBot="1" x14ac:dyDescent="0.3">
      <c r="B40" s="307">
        <v>27</v>
      </c>
      <c r="C40" s="308">
        <f>BEGINBLAD!C31</f>
        <v>0</v>
      </c>
      <c r="D40" s="274"/>
      <c r="E40" s="277"/>
      <c r="F40" s="277"/>
      <c r="G40" s="278"/>
      <c r="H40" s="309">
        <v>1</v>
      </c>
      <c r="I40" s="310" t="str">
        <f t="shared" si="0"/>
        <v/>
      </c>
      <c r="J40" s="277" t="str">
        <f t="shared" si="1"/>
        <v/>
      </c>
      <c r="K40" s="277"/>
      <c r="L40" s="277"/>
      <c r="M40" s="277"/>
      <c r="N40" s="278"/>
      <c r="P40" s="339" t="s">
        <v>206</v>
      </c>
      <c r="Q40" s="336"/>
      <c r="R40" s="336"/>
      <c r="S40" s="336"/>
      <c r="T40" s="336"/>
      <c r="U40" s="336"/>
      <c r="V40" s="336"/>
      <c r="W40" s="336"/>
      <c r="X40" s="336"/>
      <c r="Y40" s="336"/>
      <c r="Z40" s="336"/>
      <c r="AA40" s="337">
        <f>SUM(AA32:AA39)</f>
        <v>0</v>
      </c>
    </row>
    <row r="41" spans="2:35" ht="20.149999999999999" customHeight="1" thickBot="1" x14ac:dyDescent="0.3">
      <c r="B41" s="307">
        <v>28</v>
      </c>
      <c r="C41" s="308">
        <f>BEGINBLAD!C32</f>
        <v>0</v>
      </c>
      <c r="D41" s="274"/>
      <c r="E41" s="277"/>
      <c r="F41" s="277"/>
      <c r="G41" s="278"/>
      <c r="H41" s="309">
        <v>1</v>
      </c>
      <c r="I41" s="310" t="str">
        <f t="shared" si="0"/>
        <v/>
      </c>
      <c r="J41" s="277" t="str">
        <f t="shared" si="1"/>
        <v/>
      </c>
      <c r="K41" s="277"/>
      <c r="L41" s="277"/>
      <c r="M41" s="277"/>
      <c r="N41" s="278"/>
    </row>
    <row r="42" spans="2:35" ht="20.149999999999999" customHeight="1" x14ac:dyDescent="0.25">
      <c r="B42" s="307">
        <v>29</v>
      </c>
      <c r="C42" s="308">
        <f>BEGINBLAD!C33</f>
        <v>0</v>
      </c>
      <c r="D42" s="274"/>
      <c r="E42" s="277"/>
      <c r="F42" s="277"/>
      <c r="G42" s="278"/>
      <c r="H42" s="309">
        <v>1</v>
      </c>
      <c r="I42" s="310" t="str">
        <f t="shared" si="0"/>
        <v/>
      </c>
      <c r="J42" s="277" t="str">
        <f t="shared" si="1"/>
        <v/>
      </c>
      <c r="K42" s="277"/>
      <c r="L42" s="277"/>
      <c r="M42" s="277"/>
      <c r="N42" s="278"/>
      <c r="P42" s="311" t="s">
        <v>213</v>
      </c>
      <c r="Q42" s="325" t="s">
        <v>192</v>
      </c>
      <c r="R42" s="325"/>
      <c r="S42" s="325"/>
      <c r="T42" s="325"/>
      <c r="U42" s="325"/>
      <c r="V42" s="325"/>
      <c r="W42" s="325"/>
      <c r="X42" s="325"/>
      <c r="Y42" s="325"/>
      <c r="Z42" s="325"/>
      <c r="AA42" s="313"/>
    </row>
    <row r="43" spans="2:35" ht="20.149999999999999" customHeight="1" x14ac:dyDescent="0.25">
      <c r="B43" s="307">
        <v>30</v>
      </c>
      <c r="C43" s="308">
        <f>BEGINBLAD!C34</f>
        <v>0</v>
      </c>
      <c r="D43" s="274"/>
      <c r="E43" s="277"/>
      <c r="F43" s="277"/>
      <c r="G43" s="278"/>
      <c r="H43" s="309">
        <v>1</v>
      </c>
      <c r="I43" s="310" t="str">
        <f t="shared" si="0"/>
        <v/>
      </c>
      <c r="J43" s="277" t="str">
        <f t="shared" si="1"/>
        <v/>
      </c>
      <c r="K43" s="277"/>
      <c r="L43" s="277"/>
      <c r="M43" s="277"/>
      <c r="N43" s="278"/>
      <c r="P43" s="326" t="s">
        <v>214</v>
      </c>
      <c r="Q43" s="327"/>
      <c r="R43" s="327"/>
      <c r="S43" s="327"/>
      <c r="T43" s="327"/>
      <c r="U43" s="327"/>
      <c r="V43" s="327"/>
      <c r="W43" s="327"/>
      <c r="X43" s="327"/>
      <c r="Y43" s="327"/>
      <c r="Z43" s="327"/>
      <c r="AA43" s="328">
        <f>COUNTA(Q43:Z43)</f>
        <v>0</v>
      </c>
    </row>
    <row r="44" spans="2:35" ht="20.149999999999999" customHeight="1" x14ac:dyDescent="0.25">
      <c r="B44" s="307">
        <v>31</v>
      </c>
      <c r="C44" s="308">
        <f>BEGINBLAD!C35</f>
        <v>0</v>
      </c>
      <c r="D44" s="274"/>
      <c r="E44" s="277"/>
      <c r="F44" s="277"/>
      <c r="G44" s="278"/>
      <c r="H44" s="309">
        <v>1</v>
      </c>
      <c r="I44" s="310" t="str">
        <f t="shared" si="0"/>
        <v/>
      </c>
      <c r="J44" s="277" t="str">
        <f t="shared" si="1"/>
        <v/>
      </c>
      <c r="K44" s="277"/>
      <c r="L44" s="277"/>
      <c r="M44" s="277"/>
      <c r="N44" s="278"/>
      <c r="P44" s="326" t="s">
        <v>215</v>
      </c>
      <c r="Q44" s="327"/>
      <c r="R44" s="327"/>
      <c r="S44" s="327"/>
      <c r="T44" s="327"/>
      <c r="U44" s="327"/>
      <c r="V44" s="327"/>
      <c r="W44" s="327"/>
      <c r="X44" s="327"/>
      <c r="Y44" s="327"/>
      <c r="Z44" s="327"/>
      <c r="AA44" s="328">
        <f>COUNTA(Q44:Z44)</f>
        <v>0</v>
      </c>
      <c r="AC44" s="1051"/>
      <c r="AD44" s="1051"/>
      <c r="AE44" s="1051"/>
      <c r="AF44" s="1051"/>
      <c r="AG44" s="340"/>
      <c r="AH44" s="340"/>
      <c r="AI44" s="340"/>
    </row>
    <row r="45" spans="2:35" ht="20.149999999999999" customHeight="1" x14ac:dyDescent="0.25">
      <c r="B45" s="307">
        <v>32</v>
      </c>
      <c r="C45" s="308">
        <f>BEGINBLAD!C36</f>
        <v>0</v>
      </c>
      <c r="D45" s="274"/>
      <c r="E45" s="277"/>
      <c r="F45" s="277"/>
      <c r="G45" s="278"/>
      <c r="H45" s="309">
        <v>1</v>
      </c>
      <c r="I45" s="310" t="str">
        <f t="shared" si="0"/>
        <v/>
      </c>
      <c r="J45" s="277" t="str">
        <f t="shared" si="1"/>
        <v/>
      </c>
      <c r="K45" s="277"/>
      <c r="L45" s="277"/>
      <c r="M45" s="277"/>
      <c r="N45" s="278"/>
      <c r="P45" s="326" t="s">
        <v>216</v>
      </c>
      <c r="Q45" s="327"/>
      <c r="R45" s="327"/>
      <c r="S45" s="327"/>
      <c r="T45" s="327"/>
      <c r="U45" s="327"/>
      <c r="V45" s="327"/>
      <c r="W45" s="327"/>
      <c r="X45" s="327"/>
      <c r="Y45" s="327"/>
      <c r="Z45" s="327"/>
      <c r="AA45" s="328">
        <f>COUNTA(Q45:Z45)</f>
        <v>0</v>
      </c>
      <c r="AC45" s="295"/>
      <c r="AD45" s="295"/>
      <c r="AE45" s="295"/>
      <c r="AF45" s="295"/>
      <c r="AG45" s="295"/>
      <c r="AH45" s="295"/>
      <c r="AI45" s="295"/>
    </row>
    <row r="46" spans="2:35" ht="20.149999999999999" customHeight="1" x14ac:dyDescent="0.25">
      <c r="B46" s="307">
        <v>33</v>
      </c>
      <c r="C46" s="308">
        <f>BEGINBLAD!C37</f>
        <v>0</v>
      </c>
      <c r="D46" s="274"/>
      <c r="E46" s="277"/>
      <c r="F46" s="277"/>
      <c r="G46" s="278"/>
      <c r="H46" s="309">
        <v>1</v>
      </c>
      <c r="I46" s="310" t="str">
        <f t="shared" si="0"/>
        <v/>
      </c>
      <c r="J46" s="277" t="str">
        <f t="shared" si="1"/>
        <v/>
      </c>
      <c r="K46" s="277"/>
      <c r="L46" s="277"/>
      <c r="M46" s="277"/>
      <c r="N46" s="278"/>
      <c r="P46" s="326" t="s">
        <v>217</v>
      </c>
      <c r="Q46" s="327"/>
      <c r="R46" s="327"/>
      <c r="S46" s="327"/>
      <c r="T46" s="327"/>
      <c r="U46" s="327"/>
      <c r="V46" s="327"/>
      <c r="W46" s="327"/>
      <c r="X46" s="327"/>
      <c r="Y46" s="327"/>
      <c r="Z46" s="327"/>
      <c r="AA46" s="328">
        <f>COUNTA(Q46:Z46)</f>
        <v>0</v>
      </c>
      <c r="AC46" s="341"/>
      <c r="AD46" s="341"/>
      <c r="AE46" s="341"/>
      <c r="AF46" s="342"/>
      <c r="AG46" s="342"/>
      <c r="AH46" s="342"/>
      <c r="AI46" s="342"/>
    </row>
    <row r="47" spans="2:35" ht="20.149999999999999" customHeight="1" x14ac:dyDescent="0.25">
      <c r="B47" s="307">
        <v>34</v>
      </c>
      <c r="C47" s="308">
        <f>BEGINBLAD!C38</f>
        <v>0</v>
      </c>
      <c r="D47" s="274"/>
      <c r="E47" s="277"/>
      <c r="F47" s="277"/>
      <c r="G47" s="278"/>
      <c r="H47" s="309">
        <v>1</v>
      </c>
      <c r="I47" s="310" t="str">
        <f t="shared" si="0"/>
        <v/>
      </c>
      <c r="J47" s="277" t="str">
        <f t="shared" si="1"/>
        <v/>
      </c>
      <c r="K47" s="277"/>
      <c r="L47" s="277"/>
      <c r="M47" s="277"/>
      <c r="N47" s="278"/>
      <c r="P47" s="326" t="s">
        <v>218</v>
      </c>
      <c r="Q47" s="327"/>
      <c r="R47" s="327"/>
      <c r="S47" s="327"/>
      <c r="T47" s="327"/>
      <c r="U47" s="327"/>
      <c r="V47" s="327"/>
      <c r="W47" s="327"/>
      <c r="X47" s="327"/>
      <c r="Y47" s="327"/>
      <c r="Z47" s="327"/>
      <c r="AA47" s="328">
        <f>COUNTA(Q47:Z47)</f>
        <v>0</v>
      </c>
      <c r="AC47" s="341"/>
      <c r="AD47" s="341"/>
      <c r="AE47" s="341"/>
      <c r="AF47" s="342"/>
      <c r="AG47" s="342"/>
      <c r="AH47" s="342"/>
      <c r="AI47" s="342"/>
    </row>
    <row r="48" spans="2:35" ht="20.149999999999999" customHeight="1" thickBot="1" x14ac:dyDescent="0.3">
      <c r="B48" s="307">
        <v>35</v>
      </c>
      <c r="C48" s="308">
        <f>BEGINBLAD!C39</f>
        <v>0</v>
      </c>
      <c r="D48" s="274"/>
      <c r="E48" s="277"/>
      <c r="F48" s="277"/>
      <c r="G48" s="278"/>
      <c r="H48" s="309">
        <v>1</v>
      </c>
      <c r="I48" s="310" t="str">
        <f t="shared" si="0"/>
        <v/>
      </c>
      <c r="J48" s="277" t="str">
        <f t="shared" si="1"/>
        <v/>
      </c>
      <c r="K48" s="277"/>
      <c r="L48" s="277"/>
      <c r="M48" s="277"/>
      <c r="N48" s="278"/>
      <c r="P48" s="339" t="s">
        <v>0</v>
      </c>
      <c r="Q48" s="336"/>
      <c r="R48" s="336"/>
      <c r="S48" s="336"/>
      <c r="T48" s="336"/>
      <c r="U48" s="336"/>
      <c r="V48" s="336"/>
      <c r="W48" s="336"/>
      <c r="X48" s="336"/>
      <c r="Y48" s="336"/>
      <c r="Z48" s="336"/>
      <c r="AA48" s="337">
        <f>SUM(AA43:AA47)</f>
        <v>0</v>
      </c>
    </row>
    <row r="49" spans="2:41" ht="20.149999999999999" customHeight="1" thickBot="1" x14ac:dyDescent="0.3">
      <c r="B49" s="307">
        <v>36</v>
      </c>
      <c r="C49" s="308">
        <f>BEGINBLAD!C40</f>
        <v>0</v>
      </c>
      <c r="D49" s="274"/>
      <c r="E49" s="277"/>
      <c r="F49" s="277"/>
      <c r="G49" s="278"/>
      <c r="H49" s="309">
        <v>1</v>
      </c>
      <c r="I49" s="310" t="str">
        <f t="shared" si="0"/>
        <v/>
      </c>
      <c r="J49" s="277" t="str">
        <f t="shared" si="1"/>
        <v/>
      </c>
      <c r="K49" s="277"/>
      <c r="L49" s="277"/>
      <c r="M49" s="277"/>
      <c r="N49" s="278"/>
      <c r="P49" s="343"/>
      <c r="Q49" s="343"/>
      <c r="R49" s="343"/>
      <c r="S49" s="343"/>
      <c r="T49" s="343"/>
      <c r="U49" s="343"/>
      <c r="V49" s="343"/>
      <c r="W49" s="343"/>
      <c r="X49" s="343"/>
      <c r="Y49" s="343"/>
      <c r="Z49" s="343"/>
      <c r="AA49" s="275"/>
      <c r="AB49" s="277"/>
      <c r="AC49" s="277"/>
      <c r="AD49" s="277"/>
      <c r="AE49" s="277"/>
      <c r="AF49" s="277"/>
      <c r="AG49" s="277"/>
      <c r="AH49" s="277"/>
      <c r="AI49" s="277"/>
      <c r="AJ49" s="344"/>
      <c r="AK49" s="277"/>
      <c r="AL49" s="277"/>
      <c r="AM49" s="277"/>
      <c r="AN49" s="277"/>
      <c r="AO49" s="277"/>
    </row>
    <row r="50" spans="2:41" ht="20.149999999999999" customHeight="1" x14ac:dyDescent="0.25">
      <c r="B50" s="345"/>
      <c r="C50" s="308"/>
      <c r="D50" s="274"/>
      <c r="E50" s="277"/>
      <c r="F50" s="277"/>
      <c r="G50" s="278"/>
      <c r="H50" s="309">
        <v>1</v>
      </c>
      <c r="I50" s="310"/>
      <c r="J50" s="277"/>
      <c r="K50" s="277"/>
      <c r="L50" s="277"/>
      <c r="M50" s="277"/>
      <c r="N50" s="278"/>
      <c r="P50" s="346" t="s">
        <v>164</v>
      </c>
      <c r="Q50" s="347"/>
      <c r="R50" s="347"/>
      <c r="S50" s="347"/>
      <c r="T50" s="347"/>
      <c r="U50" s="347"/>
      <c r="V50" s="347"/>
      <c r="W50" s="347"/>
      <c r="X50" s="347"/>
      <c r="Y50" s="347"/>
      <c r="Z50" s="347"/>
      <c r="AA50" s="348">
        <f>SUM(AA48+AA40+AA29+AA15)</f>
        <v>25</v>
      </c>
    </row>
    <row r="51" spans="2:41" ht="20.149999999999999" customHeight="1" x14ac:dyDescent="0.25">
      <c r="B51" s="307"/>
      <c r="C51" s="308"/>
      <c r="D51" s="274"/>
      <c r="E51" s="277"/>
      <c r="F51" s="277"/>
      <c r="G51" s="278"/>
      <c r="H51" s="309">
        <v>1</v>
      </c>
      <c r="I51" s="310"/>
      <c r="J51" s="277"/>
      <c r="K51" s="277"/>
      <c r="L51" s="277"/>
      <c r="M51" s="277"/>
      <c r="N51" s="278"/>
      <c r="P51" s="287"/>
      <c r="Q51" s="288"/>
      <c r="R51" s="288"/>
      <c r="S51" s="288"/>
      <c r="T51" s="288"/>
      <c r="U51" s="288"/>
      <c r="V51" s="288"/>
      <c r="W51" s="288"/>
      <c r="X51" s="288"/>
      <c r="Y51" s="288"/>
      <c r="Z51" s="288"/>
      <c r="AA51" s="349">
        <f>AA15+(AA29*1.5)+(AA40*2)+(AA48*4)</f>
        <v>25</v>
      </c>
    </row>
    <row r="52" spans="2:41" ht="20.149999999999999" customHeight="1" thickBot="1" x14ac:dyDescent="0.3">
      <c r="B52" s="350"/>
      <c r="C52" s="377"/>
      <c r="D52" s="351"/>
      <c r="E52" s="299"/>
      <c r="F52" s="299"/>
      <c r="G52" s="281"/>
      <c r="H52" s="352">
        <v>1</v>
      </c>
      <c r="I52" s="365"/>
      <c r="J52" s="299"/>
      <c r="K52" s="299"/>
      <c r="L52" s="299"/>
      <c r="M52" s="299"/>
      <c r="N52" s="281"/>
      <c r="P52" s="318" t="s">
        <v>219</v>
      </c>
      <c r="Q52" s="320"/>
      <c r="R52" s="320"/>
      <c r="S52" s="320"/>
      <c r="T52" s="320"/>
      <c r="U52" s="320"/>
      <c r="V52" s="320"/>
      <c r="W52" s="320"/>
      <c r="X52" s="320"/>
      <c r="Y52" s="320"/>
      <c r="Z52" s="320"/>
      <c r="AA52" s="353">
        <f>IF(AB8=1,AA51/24,IF(AB8=2,(AA51/24)*1.1,IF(AB8=3,(AA51/24)*1.15,IF(AB8=4,(AA51/24)*1.2))))</f>
        <v>1.0416666666666667</v>
      </c>
    </row>
    <row r="53" spans="2:41" x14ac:dyDescent="0.25">
      <c r="C53" s="258">
        <f>BEGINBLAD!$D$41</f>
        <v>26</v>
      </c>
    </row>
  </sheetData>
  <sheetProtection sheet="1" objects="1" scenarios="1"/>
  <mergeCells count="31">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s>
  <conditionalFormatting sqref="I14:I52">
    <cfRule type="expression" dxfId="20" priority="61">
      <formula>$I14&gt;0</formula>
    </cfRule>
    <cfRule type="cellIs" dxfId="19" priority="62" operator="equal">
      <formula>4</formula>
    </cfRule>
    <cfRule type="cellIs" dxfId="18" priority="63" operator="equal">
      <formula>3</formula>
    </cfRule>
    <cfRule type="cellIs" dxfId="17" priority="64" operator="equal">
      <formula>2</formula>
    </cfRule>
    <cfRule type="cellIs" dxfId="16" priority="65" operator="equal">
      <formula>1</formula>
    </cfRule>
  </conditionalFormatting>
  <conditionalFormatting sqref="C14:C52">
    <cfRule type="expression" priority="52" stopIfTrue="1">
      <formula>$M15=""</formula>
    </cfRule>
    <cfRule type="expression" dxfId="15" priority="53" stopIfTrue="1">
      <formula>$M15&gt;9</formula>
    </cfRule>
    <cfRule type="expression" dxfId="14" priority="54" stopIfTrue="1">
      <formula>$M15&lt;0</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Option Button 1">
              <controlPr defaultSize="0" autoFill="0" autoLine="0" autoPict="0">
                <anchor moveWithCells="1">
                  <from>
                    <xdr:col>17</xdr:col>
                    <xdr:colOff>228600</xdr:colOff>
                    <xdr:row>7</xdr:row>
                    <xdr:rowOff>19050</xdr:rowOff>
                  </from>
                  <to>
                    <xdr:col>17</xdr:col>
                    <xdr:colOff>571500</xdr:colOff>
                    <xdr:row>7</xdr:row>
                    <xdr:rowOff>228600</xdr:rowOff>
                  </to>
                </anchor>
              </controlPr>
            </control>
          </mc:Choice>
        </mc:AlternateContent>
        <mc:AlternateContent xmlns:mc="http://schemas.openxmlformats.org/markup-compatibility/2006">
          <mc:Choice Requires="x14">
            <control shapeId="81922" r:id="rId5" name="Option Button 2">
              <controlPr defaultSize="0" autoFill="0" autoLine="0" autoPict="0">
                <anchor moveWithCells="1">
                  <from>
                    <xdr:col>17</xdr:col>
                    <xdr:colOff>228600</xdr:colOff>
                    <xdr:row>8</xdr:row>
                    <xdr:rowOff>19050</xdr:rowOff>
                  </from>
                  <to>
                    <xdr:col>17</xdr:col>
                    <xdr:colOff>571500</xdr:colOff>
                    <xdr:row>8</xdr:row>
                    <xdr:rowOff>228600</xdr:rowOff>
                  </to>
                </anchor>
              </controlPr>
            </control>
          </mc:Choice>
        </mc:AlternateContent>
        <mc:AlternateContent xmlns:mc="http://schemas.openxmlformats.org/markup-compatibility/2006">
          <mc:Choice Requires="x14">
            <control shapeId="81923" r:id="rId6" name="Option Button 3">
              <controlPr defaultSize="0" autoFill="0" autoLine="0" autoPict="0">
                <anchor moveWithCells="1">
                  <from>
                    <xdr:col>17</xdr:col>
                    <xdr:colOff>228600</xdr:colOff>
                    <xdr:row>9</xdr:row>
                    <xdr:rowOff>12700</xdr:rowOff>
                  </from>
                  <to>
                    <xdr:col>17</xdr:col>
                    <xdr:colOff>571500</xdr:colOff>
                    <xdr:row>9</xdr:row>
                    <xdr:rowOff>228600</xdr:rowOff>
                  </to>
                </anchor>
              </controlPr>
            </control>
          </mc:Choice>
        </mc:AlternateContent>
        <mc:AlternateContent xmlns:mc="http://schemas.openxmlformats.org/markup-compatibility/2006">
          <mc:Choice Requires="x14">
            <control shapeId="81924" r:id="rId7" name="Option Button 4">
              <controlPr defaultSize="0" autoFill="0" autoLine="0" autoPict="0">
                <anchor moveWithCells="1">
                  <from>
                    <xdr:col>17</xdr:col>
                    <xdr:colOff>228600</xdr:colOff>
                    <xdr:row>10</xdr:row>
                    <xdr:rowOff>12700</xdr:rowOff>
                  </from>
                  <to>
                    <xdr:col>17</xdr:col>
                    <xdr:colOff>571500</xdr:colOff>
                    <xdr:row>10</xdr:row>
                    <xdr:rowOff>228600</xdr:rowOff>
                  </to>
                </anchor>
              </controlPr>
            </control>
          </mc:Choice>
        </mc:AlternateContent>
        <mc:AlternateContent xmlns:mc="http://schemas.openxmlformats.org/markup-compatibility/2006">
          <mc:Choice Requires="x14">
            <control shapeId="81925" r:id="rId8" name="Option Button 5">
              <controlPr defaultSize="0" autoFill="0" autoLine="0" autoPict="0">
                <anchor moveWithCells="1">
                  <from>
                    <xdr:col>3</xdr:col>
                    <xdr:colOff>222250</xdr:colOff>
                    <xdr:row>13</xdr:row>
                    <xdr:rowOff>19050</xdr:rowOff>
                  </from>
                  <to>
                    <xdr:col>3</xdr:col>
                    <xdr:colOff>412750</xdr:colOff>
                    <xdr:row>13</xdr:row>
                    <xdr:rowOff>228600</xdr:rowOff>
                  </to>
                </anchor>
              </controlPr>
            </control>
          </mc:Choice>
        </mc:AlternateContent>
        <mc:AlternateContent xmlns:mc="http://schemas.openxmlformats.org/markup-compatibility/2006">
          <mc:Choice Requires="x14">
            <control shapeId="81926" r:id="rId9" name="Group Box 6">
              <controlPr defaultSize="0" autoFill="0" autoPict="0">
                <anchor moveWithCells="1">
                  <from>
                    <xdr:col>15</xdr:col>
                    <xdr:colOff>0</xdr:colOff>
                    <xdr:row>6</xdr:row>
                    <xdr:rowOff>247650</xdr:rowOff>
                  </from>
                  <to>
                    <xdr:col>26</xdr:col>
                    <xdr:colOff>698500</xdr:colOff>
                    <xdr:row>11</xdr:row>
                    <xdr:rowOff>0</xdr:rowOff>
                  </to>
                </anchor>
              </controlPr>
            </control>
          </mc:Choice>
        </mc:AlternateContent>
        <mc:AlternateContent xmlns:mc="http://schemas.openxmlformats.org/markup-compatibility/2006">
          <mc:Choice Requires="x14">
            <control shapeId="81927" r:id="rId10" name="Option Button 7">
              <controlPr defaultSize="0" autoFill="0" autoLine="0" autoPict="0">
                <anchor moveWithCells="1">
                  <from>
                    <xdr:col>4</xdr:col>
                    <xdr:colOff>222250</xdr:colOff>
                    <xdr:row>13</xdr:row>
                    <xdr:rowOff>19050</xdr:rowOff>
                  </from>
                  <to>
                    <xdr:col>4</xdr:col>
                    <xdr:colOff>412750</xdr:colOff>
                    <xdr:row>13</xdr:row>
                    <xdr:rowOff>228600</xdr:rowOff>
                  </to>
                </anchor>
              </controlPr>
            </control>
          </mc:Choice>
        </mc:AlternateContent>
        <mc:AlternateContent xmlns:mc="http://schemas.openxmlformats.org/markup-compatibility/2006">
          <mc:Choice Requires="x14">
            <control shapeId="81928" r:id="rId11" name="Option Button 8">
              <controlPr defaultSize="0" autoFill="0" autoLine="0" autoPict="0">
                <anchor moveWithCells="1">
                  <from>
                    <xdr:col>5</xdr:col>
                    <xdr:colOff>222250</xdr:colOff>
                    <xdr:row>13</xdr:row>
                    <xdr:rowOff>19050</xdr:rowOff>
                  </from>
                  <to>
                    <xdr:col>5</xdr:col>
                    <xdr:colOff>412750</xdr:colOff>
                    <xdr:row>13</xdr:row>
                    <xdr:rowOff>228600</xdr:rowOff>
                  </to>
                </anchor>
              </controlPr>
            </control>
          </mc:Choice>
        </mc:AlternateContent>
        <mc:AlternateContent xmlns:mc="http://schemas.openxmlformats.org/markup-compatibility/2006">
          <mc:Choice Requires="x14">
            <control shapeId="81929" r:id="rId12" name="Option Button 9">
              <controlPr defaultSize="0" autoFill="0" autoLine="0" autoPict="0">
                <anchor moveWithCells="1">
                  <from>
                    <xdr:col>6</xdr:col>
                    <xdr:colOff>222250</xdr:colOff>
                    <xdr:row>13</xdr:row>
                    <xdr:rowOff>19050</xdr:rowOff>
                  </from>
                  <to>
                    <xdr:col>6</xdr:col>
                    <xdr:colOff>412750</xdr:colOff>
                    <xdr:row>13</xdr:row>
                    <xdr:rowOff>228600</xdr:rowOff>
                  </to>
                </anchor>
              </controlPr>
            </control>
          </mc:Choice>
        </mc:AlternateContent>
        <mc:AlternateContent xmlns:mc="http://schemas.openxmlformats.org/markup-compatibility/2006">
          <mc:Choice Requires="x14">
            <control shapeId="81930" r:id="rId13" name="Option Button 10">
              <controlPr defaultSize="0" autoFill="0" autoLine="0" autoPict="0">
                <anchor moveWithCells="1">
                  <from>
                    <xdr:col>3</xdr:col>
                    <xdr:colOff>222250</xdr:colOff>
                    <xdr:row>14</xdr:row>
                    <xdr:rowOff>19050</xdr:rowOff>
                  </from>
                  <to>
                    <xdr:col>3</xdr:col>
                    <xdr:colOff>412750</xdr:colOff>
                    <xdr:row>14</xdr:row>
                    <xdr:rowOff>228600</xdr:rowOff>
                  </to>
                </anchor>
              </controlPr>
            </control>
          </mc:Choice>
        </mc:AlternateContent>
        <mc:AlternateContent xmlns:mc="http://schemas.openxmlformats.org/markup-compatibility/2006">
          <mc:Choice Requires="x14">
            <control shapeId="81931" r:id="rId14" name="Option Button 11">
              <controlPr defaultSize="0" autoFill="0" autoLine="0" autoPict="0">
                <anchor moveWithCells="1">
                  <from>
                    <xdr:col>4</xdr:col>
                    <xdr:colOff>222250</xdr:colOff>
                    <xdr:row>14</xdr:row>
                    <xdr:rowOff>19050</xdr:rowOff>
                  </from>
                  <to>
                    <xdr:col>4</xdr:col>
                    <xdr:colOff>412750</xdr:colOff>
                    <xdr:row>14</xdr:row>
                    <xdr:rowOff>228600</xdr:rowOff>
                  </to>
                </anchor>
              </controlPr>
            </control>
          </mc:Choice>
        </mc:AlternateContent>
        <mc:AlternateContent xmlns:mc="http://schemas.openxmlformats.org/markup-compatibility/2006">
          <mc:Choice Requires="x14">
            <control shapeId="81932" r:id="rId15" name="Option Button 12">
              <controlPr defaultSize="0" autoFill="0" autoLine="0" autoPict="0">
                <anchor moveWithCells="1">
                  <from>
                    <xdr:col>5</xdr:col>
                    <xdr:colOff>222250</xdr:colOff>
                    <xdr:row>14</xdr:row>
                    <xdr:rowOff>19050</xdr:rowOff>
                  </from>
                  <to>
                    <xdr:col>5</xdr:col>
                    <xdr:colOff>412750</xdr:colOff>
                    <xdr:row>14</xdr:row>
                    <xdr:rowOff>228600</xdr:rowOff>
                  </to>
                </anchor>
              </controlPr>
            </control>
          </mc:Choice>
        </mc:AlternateContent>
        <mc:AlternateContent xmlns:mc="http://schemas.openxmlformats.org/markup-compatibility/2006">
          <mc:Choice Requires="x14">
            <control shapeId="81933" r:id="rId16" name="Option Button 13">
              <controlPr defaultSize="0" autoFill="0" autoLine="0" autoPict="0">
                <anchor moveWithCells="1">
                  <from>
                    <xdr:col>6</xdr:col>
                    <xdr:colOff>222250</xdr:colOff>
                    <xdr:row>14</xdr:row>
                    <xdr:rowOff>19050</xdr:rowOff>
                  </from>
                  <to>
                    <xdr:col>6</xdr:col>
                    <xdr:colOff>412750</xdr:colOff>
                    <xdr:row>14</xdr:row>
                    <xdr:rowOff>228600</xdr:rowOff>
                  </to>
                </anchor>
              </controlPr>
            </control>
          </mc:Choice>
        </mc:AlternateContent>
        <mc:AlternateContent xmlns:mc="http://schemas.openxmlformats.org/markup-compatibility/2006">
          <mc:Choice Requires="x14">
            <control shapeId="81934" r:id="rId17" name="Option Button 14">
              <controlPr defaultSize="0" autoFill="0" autoLine="0" autoPict="0">
                <anchor moveWithCells="1">
                  <from>
                    <xdr:col>3</xdr:col>
                    <xdr:colOff>222250</xdr:colOff>
                    <xdr:row>15</xdr:row>
                    <xdr:rowOff>19050</xdr:rowOff>
                  </from>
                  <to>
                    <xdr:col>3</xdr:col>
                    <xdr:colOff>412750</xdr:colOff>
                    <xdr:row>15</xdr:row>
                    <xdr:rowOff>228600</xdr:rowOff>
                  </to>
                </anchor>
              </controlPr>
            </control>
          </mc:Choice>
        </mc:AlternateContent>
        <mc:AlternateContent xmlns:mc="http://schemas.openxmlformats.org/markup-compatibility/2006">
          <mc:Choice Requires="x14">
            <control shapeId="81935" r:id="rId18" name="Option Button 15">
              <controlPr defaultSize="0" autoFill="0" autoLine="0" autoPict="0">
                <anchor moveWithCells="1">
                  <from>
                    <xdr:col>4</xdr:col>
                    <xdr:colOff>222250</xdr:colOff>
                    <xdr:row>15</xdr:row>
                    <xdr:rowOff>19050</xdr:rowOff>
                  </from>
                  <to>
                    <xdr:col>4</xdr:col>
                    <xdr:colOff>412750</xdr:colOff>
                    <xdr:row>15</xdr:row>
                    <xdr:rowOff>228600</xdr:rowOff>
                  </to>
                </anchor>
              </controlPr>
            </control>
          </mc:Choice>
        </mc:AlternateContent>
        <mc:AlternateContent xmlns:mc="http://schemas.openxmlformats.org/markup-compatibility/2006">
          <mc:Choice Requires="x14">
            <control shapeId="81936" r:id="rId19" name="Option Button 16">
              <controlPr defaultSize="0" autoFill="0" autoLine="0" autoPict="0">
                <anchor moveWithCells="1">
                  <from>
                    <xdr:col>5</xdr:col>
                    <xdr:colOff>222250</xdr:colOff>
                    <xdr:row>15</xdr:row>
                    <xdr:rowOff>19050</xdr:rowOff>
                  </from>
                  <to>
                    <xdr:col>5</xdr:col>
                    <xdr:colOff>412750</xdr:colOff>
                    <xdr:row>15</xdr:row>
                    <xdr:rowOff>228600</xdr:rowOff>
                  </to>
                </anchor>
              </controlPr>
            </control>
          </mc:Choice>
        </mc:AlternateContent>
        <mc:AlternateContent xmlns:mc="http://schemas.openxmlformats.org/markup-compatibility/2006">
          <mc:Choice Requires="x14">
            <control shapeId="81937" r:id="rId20" name="Option Button 17">
              <controlPr defaultSize="0" autoFill="0" autoLine="0" autoPict="0">
                <anchor moveWithCells="1">
                  <from>
                    <xdr:col>6</xdr:col>
                    <xdr:colOff>222250</xdr:colOff>
                    <xdr:row>15</xdr:row>
                    <xdr:rowOff>19050</xdr:rowOff>
                  </from>
                  <to>
                    <xdr:col>6</xdr:col>
                    <xdr:colOff>412750</xdr:colOff>
                    <xdr:row>15</xdr:row>
                    <xdr:rowOff>228600</xdr:rowOff>
                  </to>
                </anchor>
              </controlPr>
            </control>
          </mc:Choice>
        </mc:AlternateContent>
        <mc:AlternateContent xmlns:mc="http://schemas.openxmlformats.org/markup-compatibility/2006">
          <mc:Choice Requires="x14">
            <control shapeId="81938" r:id="rId21" name="Option Button 18">
              <controlPr defaultSize="0" autoFill="0" autoLine="0" autoPict="0">
                <anchor moveWithCells="1">
                  <from>
                    <xdr:col>3</xdr:col>
                    <xdr:colOff>222250</xdr:colOff>
                    <xdr:row>16</xdr:row>
                    <xdr:rowOff>19050</xdr:rowOff>
                  </from>
                  <to>
                    <xdr:col>3</xdr:col>
                    <xdr:colOff>412750</xdr:colOff>
                    <xdr:row>16</xdr:row>
                    <xdr:rowOff>228600</xdr:rowOff>
                  </to>
                </anchor>
              </controlPr>
            </control>
          </mc:Choice>
        </mc:AlternateContent>
        <mc:AlternateContent xmlns:mc="http://schemas.openxmlformats.org/markup-compatibility/2006">
          <mc:Choice Requires="x14">
            <control shapeId="81939" r:id="rId22" name="Option Button 19">
              <controlPr defaultSize="0" autoFill="0" autoLine="0" autoPict="0">
                <anchor moveWithCells="1">
                  <from>
                    <xdr:col>4</xdr:col>
                    <xdr:colOff>222250</xdr:colOff>
                    <xdr:row>16</xdr:row>
                    <xdr:rowOff>19050</xdr:rowOff>
                  </from>
                  <to>
                    <xdr:col>4</xdr:col>
                    <xdr:colOff>412750</xdr:colOff>
                    <xdr:row>16</xdr:row>
                    <xdr:rowOff>228600</xdr:rowOff>
                  </to>
                </anchor>
              </controlPr>
            </control>
          </mc:Choice>
        </mc:AlternateContent>
        <mc:AlternateContent xmlns:mc="http://schemas.openxmlformats.org/markup-compatibility/2006">
          <mc:Choice Requires="x14">
            <control shapeId="81940" r:id="rId23" name="Option Button 20">
              <controlPr defaultSize="0" autoFill="0" autoLine="0" autoPict="0">
                <anchor moveWithCells="1">
                  <from>
                    <xdr:col>5</xdr:col>
                    <xdr:colOff>222250</xdr:colOff>
                    <xdr:row>16</xdr:row>
                    <xdr:rowOff>19050</xdr:rowOff>
                  </from>
                  <to>
                    <xdr:col>5</xdr:col>
                    <xdr:colOff>412750</xdr:colOff>
                    <xdr:row>16</xdr:row>
                    <xdr:rowOff>228600</xdr:rowOff>
                  </to>
                </anchor>
              </controlPr>
            </control>
          </mc:Choice>
        </mc:AlternateContent>
        <mc:AlternateContent xmlns:mc="http://schemas.openxmlformats.org/markup-compatibility/2006">
          <mc:Choice Requires="x14">
            <control shapeId="81941" r:id="rId24" name="Option Button 21">
              <controlPr defaultSize="0" autoFill="0" autoLine="0" autoPict="0">
                <anchor moveWithCells="1">
                  <from>
                    <xdr:col>6</xdr:col>
                    <xdr:colOff>222250</xdr:colOff>
                    <xdr:row>16</xdr:row>
                    <xdr:rowOff>19050</xdr:rowOff>
                  </from>
                  <to>
                    <xdr:col>6</xdr:col>
                    <xdr:colOff>412750</xdr:colOff>
                    <xdr:row>16</xdr:row>
                    <xdr:rowOff>228600</xdr:rowOff>
                  </to>
                </anchor>
              </controlPr>
            </control>
          </mc:Choice>
        </mc:AlternateContent>
        <mc:AlternateContent xmlns:mc="http://schemas.openxmlformats.org/markup-compatibility/2006">
          <mc:Choice Requires="x14">
            <control shapeId="81942" r:id="rId25" name="Option Button 22">
              <controlPr defaultSize="0" autoFill="0" autoLine="0" autoPict="0">
                <anchor moveWithCells="1">
                  <from>
                    <xdr:col>3</xdr:col>
                    <xdr:colOff>222250</xdr:colOff>
                    <xdr:row>17</xdr:row>
                    <xdr:rowOff>19050</xdr:rowOff>
                  </from>
                  <to>
                    <xdr:col>3</xdr:col>
                    <xdr:colOff>412750</xdr:colOff>
                    <xdr:row>17</xdr:row>
                    <xdr:rowOff>228600</xdr:rowOff>
                  </to>
                </anchor>
              </controlPr>
            </control>
          </mc:Choice>
        </mc:AlternateContent>
        <mc:AlternateContent xmlns:mc="http://schemas.openxmlformats.org/markup-compatibility/2006">
          <mc:Choice Requires="x14">
            <control shapeId="81943" r:id="rId26" name="Option Button 23">
              <controlPr defaultSize="0" autoFill="0" autoLine="0" autoPict="0">
                <anchor moveWithCells="1">
                  <from>
                    <xdr:col>4</xdr:col>
                    <xdr:colOff>222250</xdr:colOff>
                    <xdr:row>17</xdr:row>
                    <xdr:rowOff>19050</xdr:rowOff>
                  </from>
                  <to>
                    <xdr:col>4</xdr:col>
                    <xdr:colOff>412750</xdr:colOff>
                    <xdr:row>17</xdr:row>
                    <xdr:rowOff>228600</xdr:rowOff>
                  </to>
                </anchor>
              </controlPr>
            </control>
          </mc:Choice>
        </mc:AlternateContent>
        <mc:AlternateContent xmlns:mc="http://schemas.openxmlformats.org/markup-compatibility/2006">
          <mc:Choice Requires="x14">
            <control shapeId="81944" r:id="rId27" name="Option Button 24">
              <controlPr defaultSize="0" autoFill="0" autoLine="0" autoPict="0">
                <anchor moveWithCells="1">
                  <from>
                    <xdr:col>5</xdr:col>
                    <xdr:colOff>222250</xdr:colOff>
                    <xdr:row>17</xdr:row>
                    <xdr:rowOff>19050</xdr:rowOff>
                  </from>
                  <to>
                    <xdr:col>5</xdr:col>
                    <xdr:colOff>412750</xdr:colOff>
                    <xdr:row>17</xdr:row>
                    <xdr:rowOff>228600</xdr:rowOff>
                  </to>
                </anchor>
              </controlPr>
            </control>
          </mc:Choice>
        </mc:AlternateContent>
        <mc:AlternateContent xmlns:mc="http://schemas.openxmlformats.org/markup-compatibility/2006">
          <mc:Choice Requires="x14">
            <control shapeId="81945" r:id="rId28" name="Option Button 25">
              <controlPr defaultSize="0" autoFill="0" autoLine="0" autoPict="0">
                <anchor moveWithCells="1">
                  <from>
                    <xdr:col>6</xdr:col>
                    <xdr:colOff>222250</xdr:colOff>
                    <xdr:row>17</xdr:row>
                    <xdr:rowOff>19050</xdr:rowOff>
                  </from>
                  <to>
                    <xdr:col>6</xdr:col>
                    <xdr:colOff>412750</xdr:colOff>
                    <xdr:row>17</xdr:row>
                    <xdr:rowOff>228600</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3</xdr:col>
                    <xdr:colOff>222250</xdr:colOff>
                    <xdr:row>18</xdr:row>
                    <xdr:rowOff>19050</xdr:rowOff>
                  </from>
                  <to>
                    <xdr:col>3</xdr:col>
                    <xdr:colOff>412750</xdr:colOff>
                    <xdr:row>18</xdr:row>
                    <xdr:rowOff>228600</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4</xdr:col>
                    <xdr:colOff>222250</xdr:colOff>
                    <xdr:row>18</xdr:row>
                    <xdr:rowOff>19050</xdr:rowOff>
                  </from>
                  <to>
                    <xdr:col>4</xdr:col>
                    <xdr:colOff>412750</xdr:colOff>
                    <xdr:row>18</xdr:row>
                    <xdr:rowOff>228600</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5</xdr:col>
                    <xdr:colOff>222250</xdr:colOff>
                    <xdr:row>18</xdr:row>
                    <xdr:rowOff>19050</xdr:rowOff>
                  </from>
                  <to>
                    <xdr:col>5</xdr:col>
                    <xdr:colOff>412750</xdr:colOff>
                    <xdr:row>18</xdr:row>
                    <xdr:rowOff>228600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6</xdr:col>
                    <xdr:colOff>222250</xdr:colOff>
                    <xdr:row>18</xdr:row>
                    <xdr:rowOff>19050</xdr:rowOff>
                  </from>
                  <to>
                    <xdr:col>6</xdr:col>
                    <xdr:colOff>412750</xdr:colOff>
                    <xdr:row>18</xdr:row>
                    <xdr:rowOff>228600</xdr:rowOff>
                  </to>
                </anchor>
              </controlPr>
            </control>
          </mc:Choice>
        </mc:AlternateContent>
        <mc:AlternateContent xmlns:mc="http://schemas.openxmlformats.org/markup-compatibility/2006">
          <mc:Choice Requires="x14">
            <control shapeId="81950" r:id="rId33" name="Option Button 30">
              <controlPr defaultSize="0" autoFill="0" autoLine="0" autoPict="0">
                <anchor moveWithCells="1">
                  <from>
                    <xdr:col>3</xdr:col>
                    <xdr:colOff>222250</xdr:colOff>
                    <xdr:row>19</xdr:row>
                    <xdr:rowOff>19050</xdr:rowOff>
                  </from>
                  <to>
                    <xdr:col>3</xdr:col>
                    <xdr:colOff>412750</xdr:colOff>
                    <xdr:row>19</xdr:row>
                    <xdr:rowOff>228600</xdr:rowOff>
                  </to>
                </anchor>
              </controlPr>
            </control>
          </mc:Choice>
        </mc:AlternateContent>
        <mc:AlternateContent xmlns:mc="http://schemas.openxmlformats.org/markup-compatibility/2006">
          <mc:Choice Requires="x14">
            <control shapeId="81951" r:id="rId34" name="Option Button 31">
              <controlPr defaultSize="0" autoFill="0" autoLine="0" autoPict="0">
                <anchor moveWithCells="1">
                  <from>
                    <xdr:col>4</xdr:col>
                    <xdr:colOff>222250</xdr:colOff>
                    <xdr:row>19</xdr:row>
                    <xdr:rowOff>19050</xdr:rowOff>
                  </from>
                  <to>
                    <xdr:col>4</xdr:col>
                    <xdr:colOff>412750</xdr:colOff>
                    <xdr:row>19</xdr:row>
                    <xdr:rowOff>228600</xdr:rowOff>
                  </to>
                </anchor>
              </controlPr>
            </control>
          </mc:Choice>
        </mc:AlternateContent>
        <mc:AlternateContent xmlns:mc="http://schemas.openxmlformats.org/markup-compatibility/2006">
          <mc:Choice Requires="x14">
            <control shapeId="81952" r:id="rId35" name="Option Button 32">
              <controlPr defaultSize="0" autoFill="0" autoLine="0" autoPict="0">
                <anchor moveWithCells="1">
                  <from>
                    <xdr:col>5</xdr:col>
                    <xdr:colOff>222250</xdr:colOff>
                    <xdr:row>19</xdr:row>
                    <xdr:rowOff>19050</xdr:rowOff>
                  </from>
                  <to>
                    <xdr:col>5</xdr:col>
                    <xdr:colOff>412750</xdr:colOff>
                    <xdr:row>19</xdr:row>
                    <xdr:rowOff>228600</xdr:rowOff>
                  </to>
                </anchor>
              </controlPr>
            </control>
          </mc:Choice>
        </mc:AlternateContent>
        <mc:AlternateContent xmlns:mc="http://schemas.openxmlformats.org/markup-compatibility/2006">
          <mc:Choice Requires="x14">
            <control shapeId="81953" r:id="rId36" name="Option Button 33">
              <controlPr defaultSize="0" autoFill="0" autoLine="0" autoPict="0">
                <anchor moveWithCells="1">
                  <from>
                    <xdr:col>6</xdr:col>
                    <xdr:colOff>222250</xdr:colOff>
                    <xdr:row>19</xdr:row>
                    <xdr:rowOff>19050</xdr:rowOff>
                  </from>
                  <to>
                    <xdr:col>6</xdr:col>
                    <xdr:colOff>412750</xdr:colOff>
                    <xdr:row>19</xdr:row>
                    <xdr:rowOff>228600</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3</xdr:col>
                    <xdr:colOff>222250</xdr:colOff>
                    <xdr:row>20</xdr:row>
                    <xdr:rowOff>19050</xdr:rowOff>
                  </from>
                  <to>
                    <xdr:col>3</xdr:col>
                    <xdr:colOff>412750</xdr:colOff>
                    <xdr:row>20</xdr:row>
                    <xdr:rowOff>228600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4</xdr:col>
                    <xdr:colOff>222250</xdr:colOff>
                    <xdr:row>20</xdr:row>
                    <xdr:rowOff>19050</xdr:rowOff>
                  </from>
                  <to>
                    <xdr:col>4</xdr:col>
                    <xdr:colOff>412750</xdr:colOff>
                    <xdr:row>20</xdr:row>
                    <xdr:rowOff>228600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5</xdr:col>
                    <xdr:colOff>222250</xdr:colOff>
                    <xdr:row>20</xdr:row>
                    <xdr:rowOff>19050</xdr:rowOff>
                  </from>
                  <to>
                    <xdr:col>5</xdr:col>
                    <xdr:colOff>412750</xdr:colOff>
                    <xdr:row>20</xdr:row>
                    <xdr:rowOff>228600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6</xdr:col>
                    <xdr:colOff>222250</xdr:colOff>
                    <xdr:row>20</xdr:row>
                    <xdr:rowOff>19050</xdr:rowOff>
                  </from>
                  <to>
                    <xdr:col>6</xdr:col>
                    <xdr:colOff>412750</xdr:colOff>
                    <xdr:row>20</xdr:row>
                    <xdr:rowOff>228600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3</xdr:col>
                    <xdr:colOff>222250</xdr:colOff>
                    <xdr:row>21</xdr:row>
                    <xdr:rowOff>19050</xdr:rowOff>
                  </from>
                  <to>
                    <xdr:col>3</xdr:col>
                    <xdr:colOff>412750</xdr:colOff>
                    <xdr:row>21</xdr:row>
                    <xdr:rowOff>228600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4</xdr:col>
                    <xdr:colOff>222250</xdr:colOff>
                    <xdr:row>21</xdr:row>
                    <xdr:rowOff>19050</xdr:rowOff>
                  </from>
                  <to>
                    <xdr:col>4</xdr:col>
                    <xdr:colOff>412750</xdr:colOff>
                    <xdr:row>21</xdr:row>
                    <xdr:rowOff>228600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5</xdr:col>
                    <xdr:colOff>222250</xdr:colOff>
                    <xdr:row>21</xdr:row>
                    <xdr:rowOff>19050</xdr:rowOff>
                  </from>
                  <to>
                    <xdr:col>5</xdr:col>
                    <xdr:colOff>412750</xdr:colOff>
                    <xdr:row>21</xdr:row>
                    <xdr:rowOff>228600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6</xdr:col>
                    <xdr:colOff>222250</xdr:colOff>
                    <xdr:row>21</xdr:row>
                    <xdr:rowOff>19050</xdr:rowOff>
                  </from>
                  <to>
                    <xdr:col>6</xdr:col>
                    <xdr:colOff>412750</xdr:colOff>
                    <xdr:row>21</xdr:row>
                    <xdr:rowOff>228600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3</xdr:col>
                    <xdr:colOff>222250</xdr:colOff>
                    <xdr:row>22</xdr:row>
                    <xdr:rowOff>19050</xdr:rowOff>
                  </from>
                  <to>
                    <xdr:col>3</xdr:col>
                    <xdr:colOff>412750</xdr:colOff>
                    <xdr:row>22</xdr:row>
                    <xdr:rowOff>228600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4</xdr:col>
                    <xdr:colOff>222250</xdr:colOff>
                    <xdr:row>22</xdr:row>
                    <xdr:rowOff>19050</xdr:rowOff>
                  </from>
                  <to>
                    <xdr:col>4</xdr:col>
                    <xdr:colOff>412750</xdr:colOff>
                    <xdr:row>22</xdr:row>
                    <xdr:rowOff>228600</xdr:rowOff>
                  </to>
                </anchor>
              </controlPr>
            </control>
          </mc:Choice>
        </mc:AlternateContent>
        <mc:AlternateContent xmlns:mc="http://schemas.openxmlformats.org/markup-compatibility/2006">
          <mc:Choice Requires="x14">
            <control shapeId="81964" r:id="rId47" name="Option Button 44">
              <controlPr defaultSize="0" autoFill="0" autoLine="0" autoPict="0">
                <anchor moveWithCells="1">
                  <from>
                    <xdr:col>5</xdr:col>
                    <xdr:colOff>222250</xdr:colOff>
                    <xdr:row>22</xdr:row>
                    <xdr:rowOff>19050</xdr:rowOff>
                  </from>
                  <to>
                    <xdr:col>5</xdr:col>
                    <xdr:colOff>412750</xdr:colOff>
                    <xdr:row>22</xdr:row>
                    <xdr:rowOff>228600</xdr:rowOff>
                  </to>
                </anchor>
              </controlPr>
            </control>
          </mc:Choice>
        </mc:AlternateContent>
        <mc:AlternateContent xmlns:mc="http://schemas.openxmlformats.org/markup-compatibility/2006">
          <mc:Choice Requires="x14">
            <control shapeId="81965" r:id="rId48" name="Option Button 45">
              <controlPr defaultSize="0" autoFill="0" autoLine="0" autoPict="0">
                <anchor moveWithCells="1">
                  <from>
                    <xdr:col>6</xdr:col>
                    <xdr:colOff>222250</xdr:colOff>
                    <xdr:row>22</xdr:row>
                    <xdr:rowOff>19050</xdr:rowOff>
                  </from>
                  <to>
                    <xdr:col>6</xdr:col>
                    <xdr:colOff>412750</xdr:colOff>
                    <xdr:row>22</xdr:row>
                    <xdr:rowOff>228600</xdr:rowOff>
                  </to>
                </anchor>
              </controlPr>
            </control>
          </mc:Choice>
        </mc:AlternateContent>
        <mc:AlternateContent xmlns:mc="http://schemas.openxmlformats.org/markup-compatibility/2006">
          <mc:Choice Requires="x14">
            <control shapeId="81966" r:id="rId49" name="Option Button 46">
              <controlPr defaultSize="0" autoFill="0" autoLine="0" autoPict="0">
                <anchor moveWithCells="1">
                  <from>
                    <xdr:col>3</xdr:col>
                    <xdr:colOff>222250</xdr:colOff>
                    <xdr:row>23</xdr:row>
                    <xdr:rowOff>19050</xdr:rowOff>
                  </from>
                  <to>
                    <xdr:col>3</xdr:col>
                    <xdr:colOff>412750</xdr:colOff>
                    <xdr:row>23</xdr:row>
                    <xdr:rowOff>228600</xdr:rowOff>
                  </to>
                </anchor>
              </controlPr>
            </control>
          </mc:Choice>
        </mc:AlternateContent>
        <mc:AlternateContent xmlns:mc="http://schemas.openxmlformats.org/markup-compatibility/2006">
          <mc:Choice Requires="x14">
            <control shapeId="81967" r:id="rId50" name="Option Button 47">
              <controlPr defaultSize="0" autoFill="0" autoLine="0" autoPict="0">
                <anchor moveWithCells="1">
                  <from>
                    <xdr:col>4</xdr:col>
                    <xdr:colOff>222250</xdr:colOff>
                    <xdr:row>23</xdr:row>
                    <xdr:rowOff>19050</xdr:rowOff>
                  </from>
                  <to>
                    <xdr:col>4</xdr:col>
                    <xdr:colOff>412750</xdr:colOff>
                    <xdr:row>23</xdr:row>
                    <xdr:rowOff>228600</xdr:rowOff>
                  </to>
                </anchor>
              </controlPr>
            </control>
          </mc:Choice>
        </mc:AlternateContent>
        <mc:AlternateContent xmlns:mc="http://schemas.openxmlformats.org/markup-compatibility/2006">
          <mc:Choice Requires="x14">
            <control shapeId="81968" r:id="rId51" name="Option Button 48">
              <controlPr defaultSize="0" autoFill="0" autoLine="0" autoPict="0">
                <anchor moveWithCells="1">
                  <from>
                    <xdr:col>5</xdr:col>
                    <xdr:colOff>222250</xdr:colOff>
                    <xdr:row>23</xdr:row>
                    <xdr:rowOff>19050</xdr:rowOff>
                  </from>
                  <to>
                    <xdr:col>5</xdr:col>
                    <xdr:colOff>412750</xdr:colOff>
                    <xdr:row>23</xdr:row>
                    <xdr:rowOff>228600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6</xdr:col>
                    <xdr:colOff>222250</xdr:colOff>
                    <xdr:row>23</xdr:row>
                    <xdr:rowOff>19050</xdr:rowOff>
                  </from>
                  <to>
                    <xdr:col>6</xdr:col>
                    <xdr:colOff>412750</xdr:colOff>
                    <xdr:row>23</xdr:row>
                    <xdr:rowOff>228600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3</xdr:col>
                    <xdr:colOff>222250</xdr:colOff>
                    <xdr:row>24</xdr:row>
                    <xdr:rowOff>19050</xdr:rowOff>
                  </from>
                  <to>
                    <xdr:col>3</xdr:col>
                    <xdr:colOff>412750</xdr:colOff>
                    <xdr:row>24</xdr:row>
                    <xdr:rowOff>228600</xdr:rowOff>
                  </to>
                </anchor>
              </controlPr>
            </control>
          </mc:Choice>
        </mc:AlternateContent>
        <mc:AlternateContent xmlns:mc="http://schemas.openxmlformats.org/markup-compatibility/2006">
          <mc:Choice Requires="x14">
            <control shapeId="81971" r:id="rId54" name="Option Button 51">
              <controlPr defaultSize="0" autoFill="0" autoLine="0" autoPict="0">
                <anchor moveWithCells="1">
                  <from>
                    <xdr:col>4</xdr:col>
                    <xdr:colOff>222250</xdr:colOff>
                    <xdr:row>24</xdr:row>
                    <xdr:rowOff>19050</xdr:rowOff>
                  </from>
                  <to>
                    <xdr:col>4</xdr:col>
                    <xdr:colOff>412750</xdr:colOff>
                    <xdr:row>24</xdr:row>
                    <xdr:rowOff>228600</xdr:rowOff>
                  </to>
                </anchor>
              </controlPr>
            </control>
          </mc:Choice>
        </mc:AlternateContent>
        <mc:AlternateContent xmlns:mc="http://schemas.openxmlformats.org/markup-compatibility/2006">
          <mc:Choice Requires="x14">
            <control shapeId="81972" r:id="rId55" name="Option Button 52">
              <controlPr defaultSize="0" autoFill="0" autoLine="0" autoPict="0">
                <anchor moveWithCells="1">
                  <from>
                    <xdr:col>5</xdr:col>
                    <xdr:colOff>222250</xdr:colOff>
                    <xdr:row>24</xdr:row>
                    <xdr:rowOff>19050</xdr:rowOff>
                  </from>
                  <to>
                    <xdr:col>5</xdr:col>
                    <xdr:colOff>412750</xdr:colOff>
                    <xdr:row>24</xdr:row>
                    <xdr:rowOff>228600</xdr:rowOff>
                  </to>
                </anchor>
              </controlPr>
            </control>
          </mc:Choice>
        </mc:AlternateContent>
        <mc:AlternateContent xmlns:mc="http://schemas.openxmlformats.org/markup-compatibility/2006">
          <mc:Choice Requires="x14">
            <control shapeId="81973" r:id="rId56" name="Option Button 53">
              <controlPr defaultSize="0" autoFill="0" autoLine="0" autoPict="0">
                <anchor moveWithCells="1">
                  <from>
                    <xdr:col>6</xdr:col>
                    <xdr:colOff>222250</xdr:colOff>
                    <xdr:row>24</xdr:row>
                    <xdr:rowOff>19050</xdr:rowOff>
                  </from>
                  <to>
                    <xdr:col>6</xdr:col>
                    <xdr:colOff>412750</xdr:colOff>
                    <xdr:row>24</xdr:row>
                    <xdr:rowOff>228600</xdr:rowOff>
                  </to>
                </anchor>
              </controlPr>
            </control>
          </mc:Choice>
        </mc:AlternateContent>
        <mc:AlternateContent xmlns:mc="http://schemas.openxmlformats.org/markup-compatibility/2006">
          <mc:Choice Requires="x14">
            <control shapeId="81974" r:id="rId57" name="Option Button 54">
              <controlPr defaultSize="0" autoFill="0" autoLine="0" autoPict="0">
                <anchor moveWithCells="1">
                  <from>
                    <xdr:col>3</xdr:col>
                    <xdr:colOff>222250</xdr:colOff>
                    <xdr:row>25</xdr:row>
                    <xdr:rowOff>19050</xdr:rowOff>
                  </from>
                  <to>
                    <xdr:col>3</xdr:col>
                    <xdr:colOff>412750</xdr:colOff>
                    <xdr:row>25</xdr:row>
                    <xdr:rowOff>228600</xdr:rowOff>
                  </to>
                </anchor>
              </controlPr>
            </control>
          </mc:Choice>
        </mc:AlternateContent>
        <mc:AlternateContent xmlns:mc="http://schemas.openxmlformats.org/markup-compatibility/2006">
          <mc:Choice Requires="x14">
            <control shapeId="81975" r:id="rId58" name="Option Button 55">
              <controlPr defaultSize="0" autoFill="0" autoLine="0" autoPict="0">
                <anchor moveWithCells="1">
                  <from>
                    <xdr:col>4</xdr:col>
                    <xdr:colOff>222250</xdr:colOff>
                    <xdr:row>25</xdr:row>
                    <xdr:rowOff>19050</xdr:rowOff>
                  </from>
                  <to>
                    <xdr:col>4</xdr:col>
                    <xdr:colOff>412750</xdr:colOff>
                    <xdr:row>25</xdr:row>
                    <xdr:rowOff>228600</xdr:rowOff>
                  </to>
                </anchor>
              </controlPr>
            </control>
          </mc:Choice>
        </mc:AlternateContent>
        <mc:AlternateContent xmlns:mc="http://schemas.openxmlformats.org/markup-compatibility/2006">
          <mc:Choice Requires="x14">
            <control shapeId="81976" r:id="rId59" name="Option Button 56">
              <controlPr defaultSize="0" autoFill="0" autoLine="0" autoPict="0">
                <anchor moveWithCells="1">
                  <from>
                    <xdr:col>5</xdr:col>
                    <xdr:colOff>222250</xdr:colOff>
                    <xdr:row>25</xdr:row>
                    <xdr:rowOff>19050</xdr:rowOff>
                  </from>
                  <to>
                    <xdr:col>5</xdr:col>
                    <xdr:colOff>412750</xdr:colOff>
                    <xdr:row>25</xdr:row>
                    <xdr:rowOff>228600</xdr:rowOff>
                  </to>
                </anchor>
              </controlPr>
            </control>
          </mc:Choice>
        </mc:AlternateContent>
        <mc:AlternateContent xmlns:mc="http://schemas.openxmlformats.org/markup-compatibility/2006">
          <mc:Choice Requires="x14">
            <control shapeId="81977" r:id="rId60" name="Option Button 57">
              <controlPr defaultSize="0" autoFill="0" autoLine="0" autoPict="0">
                <anchor moveWithCells="1">
                  <from>
                    <xdr:col>6</xdr:col>
                    <xdr:colOff>222250</xdr:colOff>
                    <xdr:row>25</xdr:row>
                    <xdr:rowOff>19050</xdr:rowOff>
                  </from>
                  <to>
                    <xdr:col>6</xdr:col>
                    <xdr:colOff>412750</xdr:colOff>
                    <xdr:row>25</xdr:row>
                    <xdr:rowOff>228600</xdr:rowOff>
                  </to>
                </anchor>
              </controlPr>
            </control>
          </mc:Choice>
        </mc:AlternateContent>
        <mc:AlternateContent xmlns:mc="http://schemas.openxmlformats.org/markup-compatibility/2006">
          <mc:Choice Requires="x14">
            <control shapeId="81978" r:id="rId61" name="Option Button 58">
              <controlPr defaultSize="0" autoFill="0" autoLine="0" autoPict="0">
                <anchor moveWithCells="1">
                  <from>
                    <xdr:col>3</xdr:col>
                    <xdr:colOff>222250</xdr:colOff>
                    <xdr:row>26</xdr:row>
                    <xdr:rowOff>19050</xdr:rowOff>
                  </from>
                  <to>
                    <xdr:col>3</xdr:col>
                    <xdr:colOff>412750</xdr:colOff>
                    <xdr:row>26</xdr:row>
                    <xdr:rowOff>228600</xdr:rowOff>
                  </to>
                </anchor>
              </controlPr>
            </control>
          </mc:Choice>
        </mc:AlternateContent>
        <mc:AlternateContent xmlns:mc="http://schemas.openxmlformats.org/markup-compatibility/2006">
          <mc:Choice Requires="x14">
            <control shapeId="81979" r:id="rId62" name="Option Button 59">
              <controlPr defaultSize="0" autoFill="0" autoLine="0" autoPict="0">
                <anchor moveWithCells="1">
                  <from>
                    <xdr:col>4</xdr:col>
                    <xdr:colOff>222250</xdr:colOff>
                    <xdr:row>26</xdr:row>
                    <xdr:rowOff>19050</xdr:rowOff>
                  </from>
                  <to>
                    <xdr:col>4</xdr:col>
                    <xdr:colOff>412750</xdr:colOff>
                    <xdr:row>26</xdr:row>
                    <xdr:rowOff>228600</xdr:rowOff>
                  </to>
                </anchor>
              </controlPr>
            </control>
          </mc:Choice>
        </mc:AlternateContent>
        <mc:AlternateContent xmlns:mc="http://schemas.openxmlformats.org/markup-compatibility/2006">
          <mc:Choice Requires="x14">
            <control shapeId="81980" r:id="rId63" name="Option Button 60">
              <controlPr defaultSize="0" autoFill="0" autoLine="0" autoPict="0">
                <anchor moveWithCells="1">
                  <from>
                    <xdr:col>5</xdr:col>
                    <xdr:colOff>222250</xdr:colOff>
                    <xdr:row>26</xdr:row>
                    <xdr:rowOff>19050</xdr:rowOff>
                  </from>
                  <to>
                    <xdr:col>5</xdr:col>
                    <xdr:colOff>412750</xdr:colOff>
                    <xdr:row>26</xdr:row>
                    <xdr:rowOff>228600</xdr:rowOff>
                  </to>
                </anchor>
              </controlPr>
            </control>
          </mc:Choice>
        </mc:AlternateContent>
        <mc:AlternateContent xmlns:mc="http://schemas.openxmlformats.org/markup-compatibility/2006">
          <mc:Choice Requires="x14">
            <control shapeId="81981" r:id="rId64" name="Option Button 61">
              <controlPr defaultSize="0" autoFill="0" autoLine="0" autoPict="0">
                <anchor moveWithCells="1">
                  <from>
                    <xdr:col>6</xdr:col>
                    <xdr:colOff>222250</xdr:colOff>
                    <xdr:row>26</xdr:row>
                    <xdr:rowOff>19050</xdr:rowOff>
                  </from>
                  <to>
                    <xdr:col>6</xdr:col>
                    <xdr:colOff>412750</xdr:colOff>
                    <xdr:row>26</xdr:row>
                    <xdr:rowOff>228600</xdr:rowOff>
                  </to>
                </anchor>
              </controlPr>
            </control>
          </mc:Choice>
        </mc:AlternateContent>
        <mc:AlternateContent xmlns:mc="http://schemas.openxmlformats.org/markup-compatibility/2006">
          <mc:Choice Requires="x14">
            <control shapeId="81982" r:id="rId65" name="Option Button 62">
              <controlPr defaultSize="0" autoFill="0" autoLine="0" autoPict="0">
                <anchor moveWithCells="1">
                  <from>
                    <xdr:col>3</xdr:col>
                    <xdr:colOff>222250</xdr:colOff>
                    <xdr:row>27</xdr:row>
                    <xdr:rowOff>19050</xdr:rowOff>
                  </from>
                  <to>
                    <xdr:col>3</xdr:col>
                    <xdr:colOff>412750</xdr:colOff>
                    <xdr:row>27</xdr:row>
                    <xdr:rowOff>228600</xdr:rowOff>
                  </to>
                </anchor>
              </controlPr>
            </control>
          </mc:Choice>
        </mc:AlternateContent>
        <mc:AlternateContent xmlns:mc="http://schemas.openxmlformats.org/markup-compatibility/2006">
          <mc:Choice Requires="x14">
            <control shapeId="81983" r:id="rId66" name="Option Button 63">
              <controlPr defaultSize="0" autoFill="0" autoLine="0" autoPict="0">
                <anchor moveWithCells="1">
                  <from>
                    <xdr:col>4</xdr:col>
                    <xdr:colOff>222250</xdr:colOff>
                    <xdr:row>27</xdr:row>
                    <xdr:rowOff>19050</xdr:rowOff>
                  </from>
                  <to>
                    <xdr:col>4</xdr:col>
                    <xdr:colOff>412750</xdr:colOff>
                    <xdr:row>27</xdr:row>
                    <xdr:rowOff>228600</xdr:rowOff>
                  </to>
                </anchor>
              </controlPr>
            </control>
          </mc:Choice>
        </mc:AlternateContent>
        <mc:AlternateContent xmlns:mc="http://schemas.openxmlformats.org/markup-compatibility/2006">
          <mc:Choice Requires="x14">
            <control shapeId="81984" r:id="rId67" name="Option Button 64">
              <controlPr defaultSize="0" autoFill="0" autoLine="0" autoPict="0">
                <anchor moveWithCells="1">
                  <from>
                    <xdr:col>5</xdr:col>
                    <xdr:colOff>222250</xdr:colOff>
                    <xdr:row>27</xdr:row>
                    <xdr:rowOff>19050</xdr:rowOff>
                  </from>
                  <to>
                    <xdr:col>5</xdr:col>
                    <xdr:colOff>412750</xdr:colOff>
                    <xdr:row>27</xdr:row>
                    <xdr:rowOff>228600</xdr:rowOff>
                  </to>
                </anchor>
              </controlPr>
            </control>
          </mc:Choice>
        </mc:AlternateContent>
        <mc:AlternateContent xmlns:mc="http://schemas.openxmlformats.org/markup-compatibility/2006">
          <mc:Choice Requires="x14">
            <control shapeId="81985" r:id="rId68" name="Option Button 65">
              <controlPr defaultSize="0" autoFill="0" autoLine="0" autoPict="0">
                <anchor moveWithCells="1">
                  <from>
                    <xdr:col>6</xdr:col>
                    <xdr:colOff>222250</xdr:colOff>
                    <xdr:row>27</xdr:row>
                    <xdr:rowOff>19050</xdr:rowOff>
                  </from>
                  <to>
                    <xdr:col>6</xdr:col>
                    <xdr:colOff>412750</xdr:colOff>
                    <xdr:row>27</xdr:row>
                    <xdr:rowOff>228600</xdr:rowOff>
                  </to>
                </anchor>
              </controlPr>
            </control>
          </mc:Choice>
        </mc:AlternateContent>
        <mc:AlternateContent xmlns:mc="http://schemas.openxmlformats.org/markup-compatibility/2006">
          <mc:Choice Requires="x14">
            <control shapeId="81986" r:id="rId69" name="Option Button 66">
              <controlPr defaultSize="0" autoFill="0" autoLine="0" autoPict="0">
                <anchor moveWithCells="1">
                  <from>
                    <xdr:col>3</xdr:col>
                    <xdr:colOff>222250</xdr:colOff>
                    <xdr:row>28</xdr:row>
                    <xdr:rowOff>19050</xdr:rowOff>
                  </from>
                  <to>
                    <xdr:col>3</xdr:col>
                    <xdr:colOff>412750</xdr:colOff>
                    <xdr:row>28</xdr:row>
                    <xdr:rowOff>228600</xdr:rowOff>
                  </to>
                </anchor>
              </controlPr>
            </control>
          </mc:Choice>
        </mc:AlternateContent>
        <mc:AlternateContent xmlns:mc="http://schemas.openxmlformats.org/markup-compatibility/2006">
          <mc:Choice Requires="x14">
            <control shapeId="81987" r:id="rId70" name="Option Button 67">
              <controlPr defaultSize="0" autoFill="0" autoLine="0" autoPict="0">
                <anchor moveWithCells="1">
                  <from>
                    <xdr:col>4</xdr:col>
                    <xdr:colOff>222250</xdr:colOff>
                    <xdr:row>28</xdr:row>
                    <xdr:rowOff>19050</xdr:rowOff>
                  </from>
                  <to>
                    <xdr:col>4</xdr:col>
                    <xdr:colOff>412750</xdr:colOff>
                    <xdr:row>28</xdr:row>
                    <xdr:rowOff>228600</xdr:rowOff>
                  </to>
                </anchor>
              </controlPr>
            </control>
          </mc:Choice>
        </mc:AlternateContent>
        <mc:AlternateContent xmlns:mc="http://schemas.openxmlformats.org/markup-compatibility/2006">
          <mc:Choice Requires="x14">
            <control shapeId="81988" r:id="rId71" name="Option Button 68">
              <controlPr defaultSize="0" autoFill="0" autoLine="0" autoPict="0">
                <anchor moveWithCells="1">
                  <from>
                    <xdr:col>5</xdr:col>
                    <xdr:colOff>222250</xdr:colOff>
                    <xdr:row>28</xdr:row>
                    <xdr:rowOff>19050</xdr:rowOff>
                  </from>
                  <to>
                    <xdr:col>5</xdr:col>
                    <xdr:colOff>412750</xdr:colOff>
                    <xdr:row>28</xdr:row>
                    <xdr:rowOff>228600</xdr:rowOff>
                  </to>
                </anchor>
              </controlPr>
            </control>
          </mc:Choice>
        </mc:AlternateContent>
        <mc:AlternateContent xmlns:mc="http://schemas.openxmlformats.org/markup-compatibility/2006">
          <mc:Choice Requires="x14">
            <control shapeId="81989" r:id="rId72" name="Option Button 69">
              <controlPr defaultSize="0" autoFill="0" autoLine="0" autoPict="0">
                <anchor moveWithCells="1">
                  <from>
                    <xdr:col>6</xdr:col>
                    <xdr:colOff>222250</xdr:colOff>
                    <xdr:row>28</xdr:row>
                    <xdr:rowOff>19050</xdr:rowOff>
                  </from>
                  <to>
                    <xdr:col>6</xdr:col>
                    <xdr:colOff>412750</xdr:colOff>
                    <xdr:row>28</xdr:row>
                    <xdr:rowOff>228600</xdr:rowOff>
                  </to>
                </anchor>
              </controlPr>
            </control>
          </mc:Choice>
        </mc:AlternateContent>
        <mc:AlternateContent xmlns:mc="http://schemas.openxmlformats.org/markup-compatibility/2006">
          <mc:Choice Requires="x14">
            <control shapeId="81990" r:id="rId73" name="Option Button 70">
              <controlPr defaultSize="0" autoFill="0" autoLine="0" autoPict="0">
                <anchor moveWithCells="1">
                  <from>
                    <xdr:col>3</xdr:col>
                    <xdr:colOff>222250</xdr:colOff>
                    <xdr:row>29</xdr:row>
                    <xdr:rowOff>19050</xdr:rowOff>
                  </from>
                  <to>
                    <xdr:col>3</xdr:col>
                    <xdr:colOff>412750</xdr:colOff>
                    <xdr:row>29</xdr:row>
                    <xdr:rowOff>228600</xdr:rowOff>
                  </to>
                </anchor>
              </controlPr>
            </control>
          </mc:Choice>
        </mc:AlternateContent>
        <mc:AlternateContent xmlns:mc="http://schemas.openxmlformats.org/markup-compatibility/2006">
          <mc:Choice Requires="x14">
            <control shapeId="81991" r:id="rId74" name="Option Button 71">
              <controlPr defaultSize="0" autoFill="0" autoLine="0" autoPict="0">
                <anchor moveWithCells="1">
                  <from>
                    <xdr:col>4</xdr:col>
                    <xdr:colOff>222250</xdr:colOff>
                    <xdr:row>29</xdr:row>
                    <xdr:rowOff>19050</xdr:rowOff>
                  </from>
                  <to>
                    <xdr:col>4</xdr:col>
                    <xdr:colOff>412750</xdr:colOff>
                    <xdr:row>29</xdr:row>
                    <xdr:rowOff>228600</xdr:rowOff>
                  </to>
                </anchor>
              </controlPr>
            </control>
          </mc:Choice>
        </mc:AlternateContent>
        <mc:AlternateContent xmlns:mc="http://schemas.openxmlformats.org/markup-compatibility/2006">
          <mc:Choice Requires="x14">
            <control shapeId="81992" r:id="rId75" name="Option Button 72">
              <controlPr defaultSize="0" autoFill="0" autoLine="0" autoPict="0">
                <anchor moveWithCells="1">
                  <from>
                    <xdr:col>5</xdr:col>
                    <xdr:colOff>222250</xdr:colOff>
                    <xdr:row>29</xdr:row>
                    <xdr:rowOff>19050</xdr:rowOff>
                  </from>
                  <to>
                    <xdr:col>5</xdr:col>
                    <xdr:colOff>412750</xdr:colOff>
                    <xdr:row>29</xdr:row>
                    <xdr:rowOff>228600</xdr:rowOff>
                  </to>
                </anchor>
              </controlPr>
            </control>
          </mc:Choice>
        </mc:AlternateContent>
        <mc:AlternateContent xmlns:mc="http://schemas.openxmlformats.org/markup-compatibility/2006">
          <mc:Choice Requires="x14">
            <control shapeId="81993" r:id="rId76" name="Option Button 73">
              <controlPr defaultSize="0" autoFill="0" autoLine="0" autoPict="0">
                <anchor moveWithCells="1">
                  <from>
                    <xdr:col>6</xdr:col>
                    <xdr:colOff>222250</xdr:colOff>
                    <xdr:row>29</xdr:row>
                    <xdr:rowOff>19050</xdr:rowOff>
                  </from>
                  <to>
                    <xdr:col>6</xdr:col>
                    <xdr:colOff>412750</xdr:colOff>
                    <xdr:row>29</xdr:row>
                    <xdr:rowOff>228600</xdr:rowOff>
                  </to>
                </anchor>
              </controlPr>
            </control>
          </mc:Choice>
        </mc:AlternateContent>
        <mc:AlternateContent xmlns:mc="http://schemas.openxmlformats.org/markup-compatibility/2006">
          <mc:Choice Requires="x14">
            <control shapeId="81994" r:id="rId77" name="Option Button 74">
              <controlPr defaultSize="0" autoFill="0" autoLine="0" autoPict="0">
                <anchor moveWithCells="1">
                  <from>
                    <xdr:col>3</xdr:col>
                    <xdr:colOff>222250</xdr:colOff>
                    <xdr:row>30</xdr:row>
                    <xdr:rowOff>19050</xdr:rowOff>
                  </from>
                  <to>
                    <xdr:col>3</xdr:col>
                    <xdr:colOff>412750</xdr:colOff>
                    <xdr:row>30</xdr:row>
                    <xdr:rowOff>228600</xdr:rowOff>
                  </to>
                </anchor>
              </controlPr>
            </control>
          </mc:Choice>
        </mc:AlternateContent>
        <mc:AlternateContent xmlns:mc="http://schemas.openxmlformats.org/markup-compatibility/2006">
          <mc:Choice Requires="x14">
            <control shapeId="81995" r:id="rId78" name="Option Button 75">
              <controlPr defaultSize="0" autoFill="0" autoLine="0" autoPict="0">
                <anchor moveWithCells="1">
                  <from>
                    <xdr:col>4</xdr:col>
                    <xdr:colOff>222250</xdr:colOff>
                    <xdr:row>30</xdr:row>
                    <xdr:rowOff>19050</xdr:rowOff>
                  </from>
                  <to>
                    <xdr:col>4</xdr:col>
                    <xdr:colOff>412750</xdr:colOff>
                    <xdr:row>30</xdr:row>
                    <xdr:rowOff>228600</xdr:rowOff>
                  </to>
                </anchor>
              </controlPr>
            </control>
          </mc:Choice>
        </mc:AlternateContent>
        <mc:AlternateContent xmlns:mc="http://schemas.openxmlformats.org/markup-compatibility/2006">
          <mc:Choice Requires="x14">
            <control shapeId="81996" r:id="rId79" name="Option Button 76">
              <controlPr defaultSize="0" autoFill="0" autoLine="0" autoPict="0">
                <anchor moveWithCells="1">
                  <from>
                    <xdr:col>5</xdr:col>
                    <xdr:colOff>222250</xdr:colOff>
                    <xdr:row>30</xdr:row>
                    <xdr:rowOff>19050</xdr:rowOff>
                  </from>
                  <to>
                    <xdr:col>5</xdr:col>
                    <xdr:colOff>412750</xdr:colOff>
                    <xdr:row>30</xdr:row>
                    <xdr:rowOff>228600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6</xdr:col>
                    <xdr:colOff>222250</xdr:colOff>
                    <xdr:row>30</xdr:row>
                    <xdr:rowOff>19050</xdr:rowOff>
                  </from>
                  <to>
                    <xdr:col>6</xdr:col>
                    <xdr:colOff>412750</xdr:colOff>
                    <xdr:row>30</xdr:row>
                    <xdr:rowOff>228600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3</xdr:col>
                    <xdr:colOff>222250</xdr:colOff>
                    <xdr:row>31</xdr:row>
                    <xdr:rowOff>19050</xdr:rowOff>
                  </from>
                  <to>
                    <xdr:col>3</xdr:col>
                    <xdr:colOff>412750</xdr:colOff>
                    <xdr:row>31</xdr:row>
                    <xdr:rowOff>228600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4</xdr:col>
                    <xdr:colOff>222250</xdr:colOff>
                    <xdr:row>31</xdr:row>
                    <xdr:rowOff>19050</xdr:rowOff>
                  </from>
                  <to>
                    <xdr:col>4</xdr:col>
                    <xdr:colOff>412750</xdr:colOff>
                    <xdr:row>31</xdr:row>
                    <xdr:rowOff>228600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5</xdr:col>
                    <xdr:colOff>222250</xdr:colOff>
                    <xdr:row>31</xdr:row>
                    <xdr:rowOff>19050</xdr:rowOff>
                  </from>
                  <to>
                    <xdr:col>5</xdr:col>
                    <xdr:colOff>412750</xdr:colOff>
                    <xdr:row>31</xdr:row>
                    <xdr:rowOff>228600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6</xdr:col>
                    <xdr:colOff>222250</xdr:colOff>
                    <xdr:row>31</xdr:row>
                    <xdr:rowOff>19050</xdr:rowOff>
                  </from>
                  <to>
                    <xdr:col>6</xdr:col>
                    <xdr:colOff>412750</xdr:colOff>
                    <xdr:row>31</xdr:row>
                    <xdr:rowOff>228600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3</xdr:col>
                    <xdr:colOff>222250</xdr:colOff>
                    <xdr:row>32</xdr:row>
                    <xdr:rowOff>19050</xdr:rowOff>
                  </from>
                  <to>
                    <xdr:col>3</xdr:col>
                    <xdr:colOff>412750</xdr:colOff>
                    <xdr:row>32</xdr:row>
                    <xdr:rowOff>228600</xdr:rowOff>
                  </to>
                </anchor>
              </controlPr>
            </control>
          </mc:Choice>
        </mc:AlternateContent>
        <mc:AlternateContent xmlns:mc="http://schemas.openxmlformats.org/markup-compatibility/2006">
          <mc:Choice Requires="x14">
            <control shapeId="82003" r:id="rId86" name="Option Button 83">
              <controlPr defaultSize="0" autoFill="0" autoLine="0" autoPict="0">
                <anchor moveWithCells="1">
                  <from>
                    <xdr:col>4</xdr:col>
                    <xdr:colOff>222250</xdr:colOff>
                    <xdr:row>32</xdr:row>
                    <xdr:rowOff>19050</xdr:rowOff>
                  </from>
                  <to>
                    <xdr:col>4</xdr:col>
                    <xdr:colOff>412750</xdr:colOff>
                    <xdr:row>32</xdr:row>
                    <xdr:rowOff>228600</xdr:rowOff>
                  </to>
                </anchor>
              </controlPr>
            </control>
          </mc:Choice>
        </mc:AlternateContent>
        <mc:AlternateContent xmlns:mc="http://schemas.openxmlformats.org/markup-compatibility/2006">
          <mc:Choice Requires="x14">
            <control shapeId="82004" r:id="rId87" name="Option Button 84">
              <controlPr defaultSize="0" autoFill="0" autoLine="0" autoPict="0">
                <anchor moveWithCells="1">
                  <from>
                    <xdr:col>5</xdr:col>
                    <xdr:colOff>222250</xdr:colOff>
                    <xdr:row>32</xdr:row>
                    <xdr:rowOff>19050</xdr:rowOff>
                  </from>
                  <to>
                    <xdr:col>5</xdr:col>
                    <xdr:colOff>412750</xdr:colOff>
                    <xdr:row>32</xdr:row>
                    <xdr:rowOff>228600</xdr:rowOff>
                  </to>
                </anchor>
              </controlPr>
            </control>
          </mc:Choice>
        </mc:AlternateContent>
        <mc:AlternateContent xmlns:mc="http://schemas.openxmlformats.org/markup-compatibility/2006">
          <mc:Choice Requires="x14">
            <control shapeId="82005" r:id="rId88" name="Option Button 85">
              <controlPr defaultSize="0" autoFill="0" autoLine="0" autoPict="0">
                <anchor moveWithCells="1">
                  <from>
                    <xdr:col>6</xdr:col>
                    <xdr:colOff>222250</xdr:colOff>
                    <xdr:row>32</xdr:row>
                    <xdr:rowOff>19050</xdr:rowOff>
                  </from>
                  <to>
                    <xdr:col>6</xdr:col>
                    <xdr:colOff>412750</xdr:colOff>
                    <xdr:row>32</xdr:row>
                    <xdr:rowOff>228600</xdr:rowOff>
                  </to>
                </anchor>
              </controlPr>
            </control>
          </mc:Choice>
        </mc:AlternateContent>
        <mc:AlternateContent xmlns:mc="http://schemas.openxmlformats.org/markup-compatibility/2006">
          <mc:Choice Requires="x14">
            <control shapeId="82006" r:id="rId89" name="Option Button 86">
              <controlPr defaultSize="0" autoFill="0" autoLine="0" autoPict="0">
                <anchor moveWithCells="1">
                  <from>
                    <xdr:col>3</xdr:col>
                    <xdr:colOff>222250</xdr:colOff>
                    <xdr:row>33</xdr:row>
                    <xdr:rowOff>19050</xdr:rowOff>
                  </from>
                  <to>
                    <xdr:col>3</xdr:col>
                    <xdr:colOff>412750</xdr:colOff>
                    <xdr:row>33</xdr:row>
                    <xdr:rowOff>228600</xdr:rowOff>
                  </to>
                </anchor>
              </controlPr>
            </control>
          </mc:Choice>
        </mc:AlternateContent>
        <mc:AlternateContent xmlns:mc="http://schemas.openxmlformats.org/markup-compatibility/2006">
          <mc:Choice Requires="x14">
            <control shapeId="82007" r:id="rId90" name="Option Button 87">
              <controlPr defaultSize="0" autoFill="0" autoLine="0" autoPict="0">
                <anchor moveWithCells="1">
                  <from>
                    <xdr:col>4</xdr:col>
                    <xdr:colOff>222250</xdr:colOff>
                    <xdr:row>33</xdr:row>
                    <xdr:rowOff>19050</xdr:rowOff>
                  </from>
                  <to>
                    <xdr:col>4</xdr:col>
                    <xdr:colOff>412750</xdr:colOff>
                    <xdr:row>33</xdr:row>
                    <xdr:rowOff>228600</xdr:rowOff>
                  </to>
                </anchor>
              </controlPr>
            </control>
          </mc:Choice>
        </mc:AlternateContent>
        <mc:AlternateContent xmlns:mc="http://schemas.openxmlformats.org/markup-compatibility/2006">
          <mc:Choice Requires="x14">
            <control shapeId="82008" r:id="rId91" name="Option Button 88">
              <controlPr defaultSize="0" autoFill="0" autoLine="0" autoPict="0">
                <anchor moveWithCells="1">
                  <from>
                    <xdr:col>5</xdr:col>
                    <xdr:colOff>222250</xdr:colOff>
                    <xdr:row>33</xdr:row>
                    <xdr:rowOff>19050</xdr:rowOff>
                  </from>
                  <to>
                    <xdr:col>5</xdr:col>
                    <xdr:colOff>412750</xdr:colOff>
                    <xdr:row>33</xdr:row>
                    <xdr:rowOff>228600</xdr:rowOff>
                  </to>
                </anchor>
              </controlPr>
            </control>
          </mc:Choice>
        </mc:AlternateContent>
        <mc:AlternateContent xmlns:mc="http://schemas.openxmlformats.org/markup-compatibility/2006">
          <mc:Choice Requires="x14">
            <control shapeId="82009" r:id="rId92" name="Option Button 89">
              <controlPr defaultSize="0" autoFill="0" autoLine="0" autoPict="0">
                <anchor moveWithCells="1">
                  <from>
                    <xdr:col>6</xdr:col>
                    <xdr:colOff>222250</xdr:colOff>
                    <xdr:row>33</xdr:row>
                    <xdr:rowOff>19050</xdr:rowOff>
                  </from>
                  <to>
                    <xdr:col>6</xdr:col>
                    <xdr:colOff>412750</xdr:colOff>
                    <xdr:row>33</xdr:row>
                    <xdr:rowOff>228600</xdr:rowOff>
                  </to>
                </anchor>
              </controlPr>
            </control>
          </mc:Choice>
        </mc:AlternateContent>
        <mc:AlternateContent xmlns:mc="http://schemas.openxmlformats.org/markup-compatibility/2006">
          <mc:Choice Requires="x14">
            <control shapeId="82010" r:id="rId93" name="Option Button 90">
              <controlPr defaultSize="0" autoFill="0" autoLine="0" autoPict="0">
                <anchor moveWithCells="1">
                  <from>
                    <xdr:col>3</xdr:col>
                    <xdr:colOff>222250</xdr:colOff>
                    <xdr:row>34</xdr:row>
                    <xdr:rowOff>19050</xdr:rowOff>
                  </from>
                  <to>
                    <xdr:col>3</xdr:col>
                    <xdr:colOff>412750</xdr:colOff>
                    <xdr:row>34</xdr:row>
                    <xdr:rowOff>228600</xdr:rowOff>
                  </to>
                </anchor>
              </controlPr>
            </control>
          </mc:Choice>
        </mc:AlternateContent>
        <mc:AlternateContent xmlns:mc="http://schemas.openxmlformats.org/markup-compatibility/2006">
          <mc:Choice Requires="x14">
            <control shapeId="82011" r:id="rId94" name="Option Button 91">
              <controlPr defaultSize="0" autoFill="0" autoLine="0" autoPict="0">
                <anchor moveWithCells="1">
                  <from>
                    <xdr:col>4</xdr:col>
                    <xdr:colOff>222250</xdr:colOff>
                    <xdr:row>34</xdr:row>
                    <xdr:rowOff>19050</xdr:rowOff>
                  </from>
                  <to>
                    <xdr:col>4</xdr:col>
                    <xdr:colOff>412750</xdr:colOff>
                    <xdr:row>34</xdr:row>
                    <xdr:rowOff>228600</xdr:rowOff>
                  </to>
                </anchor>
              </controlPr>
            </control>
          </mc:Choice>
        </mc:AlternateContent>
        <mc:AlternateContent xmlns:mc="http://schemas.openxmlformats.org/markup-compatibility/2006">
          <mc:Choice Requires="x14">
            <control shapeId="82012" r:id="rId95" name="Option Button 92">
              <controlPr defaultSize="0" autoFill="0" autoLine="0" autoPict="0">
                <anchor moveWithCells="1">
                  <from>
                    <xdr:col>5</xdr:col>
                    <xdr:colOff>222250</xdr:colOff>
                    <xdr:row>34</xdr:row>
                    <xdr:rowOff>19050</xdr:rowOff>
                  </from>
                  <to>
                    <xdr:col>5</xdr:col>
                    <xdr:colOff>412750</xdr:colOff>
                    <xdr:row>34</xdr:row>
                    <xdr:rowOff>228600</xdr:rowOff>
                  </to>
                </anchor>
              </controlPr>
            </control>
          </mc:Choice>
        </mc:AlternateContent>
        <mc:AlternateContent xmlns:mc="http://schemas.openxmlformats.org/markup-compatibility/2006">
          <mc:Choice Requires="x14">
            <control shapeId="82013" r:id="rId96" name="Option Button 93">
              <controlPr defaultSize="0" autoFill="0" autoLine="0" autoPict="0">
                <anchor moveWithCells="1">
                  <from>
                    <xdr:col>6</xdr:col>
                    <xdr:colOff>222250</xdr:colOff>
                    <xdr:row>34</xdr:row>
                    <xdr:rowOff>19050</xdr:rowOff>
                  </from>
                  <to>
                    <xdr:col>6</xdr:col>
                    <xdr:colOff>412750</xdr:colOff>
                    <xdr:row>34</xdr:row>
                    <xdr:rowOff>228600</xdr:rowOff>
                  </to>
                </anchor>
              </controlPr>
            </control>
          </mc:Choice>
        </mc:AlternateContent>
        <mc:AlternateContent xmlns:mc="http://schemas.openxmlformats.org/markup-compatibility/2006">
          <mc:Choice Requires="x14">
            <control shapeId="82014" r:id="rId97" name="Option Button 94">
              <controlPr defaultSize="0" autoFill="0" autoLine="0" autoPict="0">
                <anchor moveWithCells="1">
                  <from>
                    <xdr:col>3</xdr:col>
                    <xdr:colOff>222250</xdr:colOff>
                    <xdr:row>35</xdr:row>
                    <xdr:rowOff>19050</xdr:rowOff>
                  </from>
                  <to>
                    <xdr:col>3</xdr:col>
                    <xdr:colOff>412750</xdr:colOff>
                    <xdr:row>35</xdr:row>
                    <xdr:rowOff>228600</xdr:rowOff>
                  </to>
                </anchor>
              </controlPr>
            </control>
          </mc:Choice>
        </mc:AlternateContent>
        <mc:AlternateContent xmlns:mc="http://schemas.openxmlformats.org/markup-compatibility/2006">
          <mc:Choice Requires="x14">
            <control shapeId="82015" r:id="rId98" name="Option Button 95">
              <controlPr defaultSize="0" autoFill="0" autoLine="0" autoPict="0">
                <anchor moveWithCells="1">
                  <from>
                    <xdr:col>4</xdr:col>
                    <xdr:colOff>222250</xdr:colOff>
                    <xdr:row>35</xdr:row>
                    <xdr:rowOff>19050</xdr:rowOff>
                  </from>
                  <to>
                    <xdr:col>4</xdr:col>
                    <xdr:colOff>412750</xdr:colOff>
                    <xdr:row>35</xdr:row>
                    <xdr:rowOff>228600</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5</xdr:col>
                    <xdr:colOff>222250</xdr:colOff>
                    <xdr:row>35</xdr:row>
                    <xdr:rowOff>19050</xdr:rowOff>
                  </from>
                  <to>
                    <xdr:col>5</xdr:col>
                    <xdr:colOff>412750</xdr:colOff>
                    <xdr:row>35</xdr:row>
                    <xdr:rowOff>228600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6</xdr:col>
                    <xdr:colOff>222250</xdr:colOff>
                    <xdr:row>35</xdr:row>
                    <xdr:rowOff>19050</xdr:rowOff>
                  </from>
                  <to>
                    <xdr:col>6</xdr:col>
                    <xdr:colOff>412750</xdr:colOff>
                    <xdr:row>35</xdr:row>
                    <xdr:rowOff>228600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3</xdr:col>
                    <xdr:colOff>222250</xdr:colOff>
                    <xdr:row>36</xdr:row>
                    <xdr:rowOff>19050</xdr:rowOff>
                  </from>
                  <to>
                    <xdr:col>3</xdr:col>
                    <xdr:colOff>412750</xdr:colOff>
                    <xdr:row>36</xdr:row>
                    <xdr:rowOff>228600</xdr:rowOff>
                  </to>
                </anchor>
              </controlPr>
            </control>
          </mc:Choice>
        </mc:AlternateContent>
        <mc:AlternateContent xmlns:mc="http://schemas.openxmlformats.org/markup-compatibility/2006">
          <mc:Choice Requires="x14">
            <control shapeId="82019" r:id="rId102" name="Option Button 99">
              <controlPr defaultSize="0" autoFill="0" autoLine="0" autoPict="0">
                <anchor moveWithCells="1">
                  <from>
                    <xdr:col>4</xdr:col>
                    <xdr:colOff>222250</xdr:colOff>
                    <xdr:row>36</xdr:row>
                    <xdr:rowOff>19050</xdr:rowOff>
                  </from>
                  <to>
                    <xdr:col>4</xdr:col>
                    <xdr:colOff>412750</xdr:colOff>
                    <xdr:row>36</xdr:row>
                    <xdr:rowOff>228600</xdr:rowOff>
                  </to>
                </anchor>
              </controlPr>
            </control>
          </mc:Choice>
        </mc:AlternateContent>
        <mc:AlternateContent xmlns:mc="http://schemas.openxmlformats.org/markup-compatibility/2006">
          <mc:Choice Requires="x14">
            <control shapeId="82020" r:id="rId103" name="Option Button 100">
              <controlPr defaultSize="0" autoFill="0" autoLine="0" autoPict="0">
                <anchor moveWithCells="1">
                  <from>
                    <xdr:col>5</xdr:col>
                    <xdr:colOff>222250</xdr:colOff>
                    <xdr:row>36</xdr:row>
                    <xdr:rowOff>19050</xdr:rowOff>
                  </from>
                  <to>
                    <xdr:col>5</xdr:col>
                    <xdr:colOff>412750</xdr:colOff>
                    <xdr:row>36</xdr:row>
                    <xdr:rowOff>228600</xdr:rowOff>
                  </to>
                </anchor>
              </controlPr>
            </control>
          </mc:Choice>
        </mc:AlternateContent>
        <mc:AlternateContent xmlns:mc="http://schemas.openxmlformats.org/markup-compatibility/2006">
          <mc:Choice Requires="x14">
            <control shapeId="82021" r:id="rId104" name="Option Button 101">
              <controlPr defaultSize="0" autoFill="0" autoLine="0" autoPict="0">
                <anchor moveWithCells="1">
                  <from>
                    <xdr:col>6</xdr:col>
                    <xdr:colOff>222250</xdr:colOff>
                    <xdr:row>36</xdr:row>
                    <xdr:rowOff>19050</xdr:rowOff>
                  </from>
                  <to>
                    <xdr:col>6</xdr:col>
                    <xdr:colOff>412750</xdr:colOff>
                    <xdr:row>36</xdr:row>
                    <xdr:rowOff>228600</xdr:rowOff>
                  </to>
                </anchor>
              </controlPr>
            </control>
          </mc:Choice>
        </mc:AlternateContent>
        <mc:AlternateContent xmlns:mc="http://schemas.openxmlformats.org/markup-compatibility/2006">
          <mc:Choice Requires="x14">
            <control shapeId="82022" r:id="rId105" name="Option Button 102">
              <controlPr defaultSize="0" autoFill="0" autoLine="0" autoPict="0">
                <anchor moveWithCells="1">
                  <from>
                    <xdr:col>3</xdr:col>
                    <xdr:colOff>222250</xdr:colOff>
                    <xdr:row>37</xdr:row>
                    <xdr:rowOff>19050</xdr:rowOff>
                  </from>
                  <to>
                    <xdr:col>3</xdr:col>
                    <xdr:colOff>412750</xdr:colOff>
                    <xdr:row>37</xdr:row>
                    <xdr:rowOff>228600</xdr:rowOff>
                  </to>
                </anchor>
              </controlPr>
            </control>
          </mc:Choice>
        </mc:AlternateContent>
        <mc:AlternateContent xmlns:mc="http://schemas.openxmlformats.org/markup-compatibility/2006">
          <mc:Choice Requires="x14">
            <control shapeId="82023" r:id="rId106" name="Option Button 103">
              <controlPr defaultSize="0" autoFill="0" autoLine="0" autoPict="0">
                <anchor moveWithCells="1">
                  <from>
                    <xdr:col>4</xdr:col>
                    <xdr:colOff>222250</xdr:colOff>
                    <xdr:row>37</xdr:row>
                    <xdr:rowOff>19050</xdr:rowOff>
                  </from>
                  <to>
                    <xdr:col>4</xdr:col>
                    <xdr:colOff>412750</xdr:colOff>
                    <xdr:row>37</xdr:row>
                    <xdr:rowOff>228600</xdr:rowOff>
                  </to>
                </anchor>
              </controlPr>
            </control>
          </mc:Choice>
        </mc:AlternateContent>
        <mc:AlternateContent xmlns:mc="http://schemas.openxmlformats.org/markup-compatibility/2006">
          <mc:Choice Requires="x14">
            <control shapeId="82024" r:id="rId107" name="Option Button 104">
              <controlPr defaultSize="0" autoFill="0" autoLine="0" autoPict="0">
                <anchor moveWithCells="1">
                  <from>
                    <xdr:col>5</xdr:col>
                    <xdr:colOff>222250</xdr:colOff>
                    <xdr:row>37</xdr:row>
                    <xdr:rowOff>19050</xdr:rowOff>
                  </from>
                  <to>
                    <xdr:col>5</xdr:col>
                    <xdr:colOff>412750</xdr:colOff>
                    <xdr:row>37</xdr:row>
                    <xdr:rowOff>228600</xdr:rowOff>
                  </to>
                </anchor>
              </controlPr>
            </control>
          </mc:Choice>
        </mc:AlternateContent>
        <mc:AlternateContent xmlns:mc="http://schemas.openxmlformats.org/markup-compatibility/2006">
          <mc:Choice Requires="x14">
            <control shapeId="82025" r:id="rId108" name="Option Button 105">
              <controlPr defaultSize="0" autoFill="0" autoLine="0" autoPict="0">
                <anchor moveWithCells="1">
                  <from>
                    <xdr:col>6</xdr:col>
                    <xdr:colOff>222250</xdr:colOff>
                    <xdr:row>37</xdr:row>
                    <xdr:rowOff>19050</xdr:rowOff>
                  </from>
                  <to>
                    <xdr:col>6</xdr:col>
                    <xdr:colOff>412750</xdr:colOff>
                    <xdr:row>37</xdr:row>
                    <xdr:rowOff>228600</xdr:rowOff>
                  </to>
                </anchor>
              </controlPr>
            </control>
          </mc:Choice>
        </mc:AlternateContent>
        <mc:AlternateContent xmlns:mc="http://schemas.openxmlformats.org/markup-compatibility/2006">
          <mc:Choice Requires="x14">
            <control shapeId="82026" r:id="rId109" name="Option Button 106">
              <controlPr defaultSize="0" autoFill="0" autoLine="0" autoPict="0">
                <anchor moveWithCells="1">
                  <from>
                    <xdr:col>3</xdr:col>
                    <xdr:colOff>222250</xdr:colOff>
                    <xdr:row>38</xdr:row>
                    <xdr:rowOff>19050</xdr:rowOff>
                  </from>
                  <to>
                    <xdr:col>3</xdr:col>
                    <xdr:colOff>412750</xdr:colOff>
                    <xdr:row>38</xdr:row>
                    <xdr:rowOff>228600</xdr:rowOff>
                  </to>
                </anchor>
              </controlPr>
            </control>
          </mc:Choice>
        </mc:AlternateContent>
        <mc:AlternateContent xmlns:mc="http://schemas.openxmlformats.org/markup-compatibility/2006">
          <mc:Choice Requires="x14">
            <control shapeId="82027" r:id="rId110" name="Option Button 107">
              <controlPr defaultSize="0" autoFill="0" autoLine="0" autoPict="0">
                <anchor moveWithCells="1">
                  <from>
                    <xdr:col>4</xdr:col>
                    <xdr:colOff>222250</xdr:colOff>
                    <xdr:row>38</xdr:row>
                    <xdr:rowOff>19050</xdr:rowOff>
                  </from>
                  <to>
                    <xdr:col>4</xdr:col>
                    <xdr:colOff>412750</xdr:colOff>
                    <xdr:row>38</xdr:row>
                    <xdr:rowOff>228600</xdr:rowOff>
                  </to>
                </anchor>
              </controlPr>
            </control>
          </mc:Choice>
        </mc:AlternateContent>
        <mc:AlternateContent xmlns:mc="http://schemas.openxmlformats.org/markup-compatibility/2006">
          <mc:Choice Requires="x14">
            <control shapeId="82028" r:id="rId111" name="Option Button 108">
              <controlPr defaultSize="0" autoFill="0" autoLine="0" autoPict="0">
                <anchor moveWithCells="1">
                  <from>
                    <xdr:col>5</xdr:col>
                    <xdr:colOff>222250</xdr:colOff>
                    <xdr:row>38</xdr:row>
                    <xdr:rowOff>19050</xdr:rowOff>
                  </from>
                  <to>
                    <xdr:col>5</xdr:col>
                    <xdr:colOff>412750</xdr:colOff>
                    <xdr:row>38</xdr:row>
                    <xdr:rowOff>228600</xdr:rowOff>
                  </to>
                </anchor>
              </controlPr>
            </control>
          </mc:Choice>
        </mc:AlternateContent>
        <mc:AlternateContent xmlns:mc="http://schemas.openxmlformats.org/markup-compatibility/2006">
          <mc:Choice Requires="x14">
            <control shapeId="82029" r:id="rId112" name="Option Button 109">
              <controlPr defaultSize="0" autoFill="0" autoLine="0" autoPict="0">
                <anchor moveWithCells="1">
                  <from>
                    <xdr:col>6</xdr:col>
                    <xdr:colOff>222250</xdr:colOff>
                    <xdr:row>38</xdr:row>
                    <xdr:rowOff>19050</xdr:rowOff>
                  </from>
                  <to>
                    <xdr:col>6</xdr:col>
                    <xdr:colOff>412750</xdr:colOff>
                    <xdr:row>38</xdr:row>
                    <xdr:rowOff>228600</xdr:rowOff>
                  </to>
                </anchor>
              </controlPr>
            </control>
          </mc:Choice>
        </mc:AlternateContent>
        <mc:AlternateContent xmlns:mc="http://schemas.openxmlformats.org/markup-compatibility/2006">
          <mc:Choice Requires="x14">
            <control shapeId="82030" r:id="rId113" name="Option Button 110">
              <controlPr defaultSize="0" autoFill="0" autoLine="0" autoPict="0">
                <anchor moveWithCells="1">
                  <from>
                    <xdr:col>3</xdr:col>
                    <xdr:colOff>222250</xdr:colOff>
                    <xdr:row>39</xdr:row>
                    <xdr:rowOff>19050</xdr:rowOff>
                  </from>
                  <to>
                    <xdr:col>3</xdr:col>
                    <xdr:colOff>412750</xdr:colOff>
                    <xdr:row>39</xdr:row>
                    <xdr:rowOff>228600</xdr:rowOff>
                  </to>
                </anchor>
              </controlPr>
            </control>
          </mc:Choice>
        </mc:AlternateContent>
        <mc:AlternateContent xmlns:mc="http://schemas.openxmlformats.org/markup-compatibility/2006">
          <mc:Choice Requires="x14">
            <control shapeId="82031" r:id="rId114" name="Option Button 111">
              <controlPr defaultSize="0" autoFill="0" autoLine="0" autoPict="0">
                <anchor moveWithCells="1">
                  <from>
                    <xdr:col>4</xdr:col>
                    <xdr:colOff>222250</xdr:colOff>
                    <xdr:row>39</xdr:row>
                    <xdr:rowOff>19050</xdr:rowOff>
                  </from>
                  <to>
                    <xdr:col>4</xdr:col>
                    <xdr:colOff>412750</xdr:colOff>
                    <xdr:row>39</xdr:row>
                    <xdr:rowOff>228600</xdr:rowOff>
                  </to>
                </anchor>
              </controlPr>
            </control>
          </mc:Choice>
        </mc:AlternateContent>
        <mc:AlternateContent xmlns:mc="http://schemas.openxmlformats.org/markup-compatibility/2006">
          <mc:Choice Requires="x14">
            <control shapeId="82032" r:id="rId115" name="Option Button 112">
              <controlPr defaultSize="0" autoFill="0" autoLine="0" autoPict="0">
                <anchor moveWithCells="1">
                  <from>
                    <xdr:col>5</xdr:col>
                    <xdr:colOff>222250</xdr:colOff>
                    <xdr:row>39</xdr:row>
                    <xdr:rowOff>19050</xdr:rowOff>
                  </from>
                  <to>
                    <xdr:col>5</xdr:col>
                    <xdr:colOff>412750</xdr:colOff>
                    <xdr:row>39</xdr:row>
                    <xdr:rowOff>228600</xdr:rowOff>
                  </to>
                </anchor>
              </controlPr>
            </control>
          </mc:Choice>
        </mc:AlternateContent>
        <mc:AlternateContent xmlns:mc="http://schemas.openxmlformats.org/markup-compatibility/2006">
          <mc:Choice Requires="x14">
            <control shapeId="82033" r:id="rId116" name="Option Button 113">
              <controlPr defaultSize="0" autoFill="0" autoLine="0" autoPict="0">
                <anchor moveWithCells="1">
                  <from>
                    <xdr:col>6</xdr:col>
                    <xdr:colOff>222250</xdr:colOff>
                    <xdr:row>39</xdr:row>
                    <xdr:rowOff>19050</xdr:rowOff>
                  </from>
                  <to>
                    <xdr:col>6</xdr:col>
                    <xdr:colOff>412750</xdr:colOff>
                    <xdr:row>39</xdr:row>
                    <xdr:rowOff>228600</xdr:rowOff>
                  </to>
                </anchor>
              </controlPr>
            </control>
          </mc:Choice>
        </mc:AlternateContent>
        <mc:AlternateContent xmlns:mc="http://schemas.openxmlformats.org/markup-compatibility/2006">
          <mc:Choice Requires="x14">
            <control shapeId="82034" r:id="rId117" name="Option Button 114">
              <controlPr defaultSize="0" autoFill="0" autoLine="0" autoPict="0">
                <anchor moveWithCells="1">
                  <from>
                    <xdr:col>3</xdr:col>
                    <xdr:colOff>222250</xdr:colOff>
                    <xdr:row>40</xdr:row>
                    <xdr:rowOff>19050</xdr:rowOff>
                  </from>
                  <to>
                    <xdr:col>3</xdr:col>
                    <xdr:colOff>412750</xdr:colOff>
                    <xdr:row>40</xdr:row>
                    <xdr:rowOff>228600</xdr:rowOff>
                  </to>
                </anchor>
              </controlPr>
            </control>
          </mc:Choice>
        </mc:AlternateContent>
        <mc:AlternateContent xmlns:mc="http://schemas.openxmlformats.org/markup-compatibility/2006">
          <mc:Choice Requires="x14">
            <control shapeId="82035" r:id="rId118" name="Option Button 115">
              <controlPr defaultSize="0" autoFill="0" autoLine="0" autoPict="0">
                <anchor moveWithCells="1">
                  <from>
                    <xdr:col>4</xdr:col>
                    <xdr:colOff>222250</xdr:colOff>
                    <xdr:row>40</xdr:row>
                    <xdr:rowOff>19050</xdr:rowOff>
                  </from>
                  <to>
                    <xdr:col>4</xdr:col>
                    <xdr:colOff>412750</xdr:colOff>
                    <xdr:row>40</xdr:row>
                    <xdr:rowOff>228600</xdr:rowOff>
                  </to>
                </anchor>
              </controlPr>
            </control>
          </mc:Choice>
        </mc:AlternateContent>
        <mc:AlternateContent xmlns:mc="http://schemas.openxmlformats.org/markup-compatibility/2006">
          <mc:Choice Requires="x14">
            <control shapeId="82036" r:id="rId119" name="Option Button 116">
              <controlPr defaultSize="0" autoFill="0" autoLine="0" autoPict="0">
                <anchor moveWithCells="1">
                  <from>
                    <xdr:col>5</xdr:col>
                    <xdr:colOff>222250</xdr:colOff>
                    <xdr:row>40</xdr:row>
                    <xdr:rowOff>19050</xdr:rowOff>
                  </from>
                  <to>
                    <xdr:col>5</xdr:col>
                    <xdr:colOff>412750</xdr:colOff>
                    <xdr:row>40</xdr:row>
                    <xdr:rowOff>228600</xdr:rowOff>
                  </to>
                </anchor>
              </controlPr>
            </control>
          </mc:Choice>
        </mc:AlternateContent>
        <mc:AlternateContent xmlns:mc="http://schemas.openxmlformats.org/markup-compatibility/2006">
          <mc:Choice Requires="x14">
            <control shapeId="82037" r:id="rId120" name="Option Button 117">
              <controlPr defaultSize="0" autoFill="0" autoLine="0" autoPict="0">
                <anchor moveWithCells="1">
                  <from>
                    <xdr:col>6</xdr:col>
                    <xdr:colOff>222250</xdr:colOff>
                    <xdr:row>40</xdr:row>
                    <xdr:rowOff>19050</xdr:rowOff>
                  </from>
                  <to>
                    <xdr:col>6</xdr:col>
                    <xdr:colOff>412750</xdr:colOff>
                    <xdr:row>40</xdr:row>
                    <xdr:rowOff>228600</xdr:rowOff>
                  </to>
                </anchor>
              </controlPr>
            </control>
          </mc:Choice>
        </mc:AlternateContent>
        <mc:AlternateContent xmlns:mc="http://schemas.openxmlformats.org/markup-compatibility/2006">
          <mc:Choice Requires="x14">
            <control shapeId="82038" r:id="rId121" name="Option Button 118">
              <controlPr defaultSize="0" autoFill="0" autoLine="0" autoPict="0">
                <anchor moveWithCells="1">
                  <from>
                    <xdr:col>3</xdr:col>
                    <xdr:colOff>222250</xdr:colOff>
                    <xdr:row>41</xdr:row>
                    <xdr:rowOff>19050</xdr:rowOff>
                  </from>
                  <to>
                    <xdr:col>3</xdr:col>
                    <xdr:colOff>412750</xdr:colOff>
                    <xdr:row>41</xdr:row>
                    <xdr:rowOff>228600</xdr:rowOff>
                  </to>
                </anchor>
              </controlPr>
            </control>
          </mc:Choice>
        </mc:AlternateContent>
        <mc:AlternateContent xmlns:mc="http://schemas.openxmlformats.org/markup-compatibility/2006">
          <mc:Choice Requires="x14">
            <control shapeId="82039" r:id="rId122" name="Option Button 119">
              <controlPr defaultSize="0" autoFill="0" autoLine="0" autoPict="0">
                <anchor moveWithCells="1">
                  <from>
                    <xdr:col>4</xdr:col>
                    <xdr:colOff>222250</xdr:colOff>
                    <xdr:row>41</xdr:row>
                    <xdr:rowOff>19050</xdr:rowOff>
                  </from>
                  <to>
                    <xdr:col>4</xdr:col>
                    <xdr:colOff>412750</xdr:colOff>
                    <xdr:row>41</xdr:row>
                    <xdr:rowOff>228600</xdr:rowOff>
                  </to>
                </anchor>
              </controlPr>
            </control>
          </mc:Choice>
        </mc:AlternateContent>
        <mc:AlternateContent xmlns:mc="http://schemas.openxmlformats.org/markup-compatibility/2006">
          <mc:Choice Requires="x14">
            <control shapeId="82040" r:id="rId123" name="Option Button 120">
              <controlPr defaultSize="0" autoFill="0" autoLine="0" autoPict="0">
                <anchor moveWithCells="1">
                  <from>
                    <xdr:col>5</xdr:col>
                    <xdr:colOff>222250</xdr:colOff>
                    <xdr:row>41</xdr:row>
                    <xdr:rowOff>19050</xdr:rowOff>
                  </from>
                  <to>
                    <xdr:col>5</xdr:col>
                    <xdr:colOff>412750</xdr:colOff>
                    <xdr:row>41</xdr:row>
                    <xdr:rowOff>228600</xdr:rowOff>
                  </to>
                </anchor>
              </controlPr>
            </control>
          </mc:Choice>
        </mc:AlternateContent>
        <mc:AlternateContent xmlns:mc="http://schemas.openxmlformats.org/markup-compatibility/2006">
          <mc:Choice Requires="x14">
            <control shapeId="82041" r:id="rId124" name="Option Button 121">
              <controlPr defaultSize="0" autoFill="0" autoLine="0" autoPict="0">
                <anchor moveWithCells="1">
                  <from>
                    <xdr:col>6</xdr:col>
                    <xdr:colOff>222250</xdr:colOff>
                    <xdr:row>41</xdr:row>
                    <xdr:rowOff>19050</xdr:rowOff>
                  </from>
                  <to>
                    <xdr:col>6</xdr:col>
                    <xdr:colOff>412750</xdr:colOff>
                    <xdr:row>41</xdr:row>
                    <xdr:rowOff>228600</xdr:rowOff>
                  </to>
                </anchor>
              </controlPr>
            </control>
          </mc:Choice>
        </mc:AlternateContent>
        <mc:AlternateContent xmlns:mc="http://schemas.openxmlformats.org/markup-compatibility/2006">
          <mc:Choice Requires="x14">
            <control shapeId="82042" r:id="rId125" name="Option Button 122">
              <controlPr defaultSize="0" autoFill="0" autoLine="0" autoPict="0">
                <anchor moveWithCells="1">
                  <from>
                    <xdr:col>3</xdr:col>
                    <xdr:colOff>222250</xdr:colOff>
                    <xdr:row>42</xdr:row>
                    <xdr:rowOff>19050</xdr:rowOff>
                  </from>
                  <to>
                    <xdr:col>3</xdr:col>
                    <xdr:colOff>412750</xdr:colOff>
                    <xdr:row>42</xdr:row>
                    <xdr:rowOff>228600</xdr:rowOff>
                  </to>
                </anchor>
              </controlPr>
            </control>
          </mc:Choice>
        </mc:AlternateContent>
        <mc:AlternateContent xmlns:mc="http://schemas.openxmlformats.org/markup-compatibility/2006">
          <mc:Choice Requires="x14">
            <control shapeId="82043" r:id="rId126" name="Option Button 123">
              <controlPr defaultSize="0" autoFill="0" autoLine="0" autoPict="0">
                <anchor moveWithCells="1">
                  <from>
                    <xdr:col>4</xdr:col>
                    <xdr:colOff>222250</xdr:colOff>
                    <xdr:row>42</xdr:row>
                    <xdr:rowOff>19050</xdr:rowOff>
                  </from>
                  <to>
                    <xdr:col>4</xdr:col>
                    <xdr:colOff>412750</xdr:colOff>
                    <xdr:row>42</xdr:row>
                    <xdr:rowOff>228600</xdr:rowOff>
                  </to>
                </anchor>
              </controlPr>
            </control>
          </mc:Choice>
        </mc:AlternateContent>
        <mc:AlternateContent xmlns:mc="http://schemas.openxmlformats.org/markup-compatibility/2006">
          <mc:Choice Requires="x14">
            <control shapeId="82044" r:id="rId127" name="Option Button 124">
              <controlPr defaultSize="0" autoFill="0" autoLine="0" autoPict="0">
                <anchor moveWithCells="1">
                  <from>
                    <xdr:col>5</xdr:col>
                    <xdr:colOff>222250</xdr:colOff>
                    <xdr:row>42</xdr:row>
                    <xdr:rowOff>19050</xdr:rowOff>
                  </from>
                  <to>
                    <xdr:col>5</xdr:col>
                    <xdr:colOff>412750</xdr:colOff>
                    <xdr:row>42</xdr:row>
                    <xdr:rowOff>228600</xdr:rowOff>
                  </to>
                </anchor>
              </controlPr>
            </control>
          </mc:Choice>
        </mc:AlternateContent>
        <mc:AlternateContent xmlns:mc="http://schemas.openxmlformats.org/markup-compatibility/2006">
          <mc:Choice Requires="x14">
            <control shapeId="82045" r:id="rId128" name="Option Button 125">
              <controlPr defaultSize="0" autoFill="0" autoLine="0" autoPict="0">
                <anchor moveWithCells="1">
                  <from>
                    <xdr:col>6</xdr:col>
                    <xdr:colOff>222250</xdr:colOff>
                    <xdr:row>42</xdr:row>
                    <xdr:rowOff>19050</xdr:rowOff>
                  </from>
                  <to>
                    <xdr:col>6</xdr:col>
                    <xdr:colOff>412750</xdr:colOff>
                    <xdr:row>42</xdr:row>
                    <xdr:rowOff>228600</xdr:rowOff>
                  </to>
                </anchor>
              </controlPr>
            </control>
          </mc:Choice>
        </mc:AlternateContent>
        <mc:AlternateContent xmlns:mc="http://schemas.openxmlformats.org/markup-compatibility/2006">
          <mc:Choice Requires="x14">
            <control shapeId="82046" r:id="rId129" name="Option Button 126">
              <controlPr defaultSize="0" autoFill="0" autoLine="0" autoPict="0">
                <anchor moveWithCells="1">
                  <from>
                    <xdr:col>3</xdr:col>
                    <xdr:colOff>222250</xdr:colOff>
                    <xdr:row>43</xdr:row>
                    <xdr:rowOff>19050</xdr:rowOff>
                  </from>
                  <to>
                    <xdr:col>3</xdr:col>
                    <xdr:colOff>412750</xdr:colOff>
                    <xdr:row>43</xdr:row>
                    <xdr:rowOff>228600</xdr:rowOff>
                  </to>
                </anchor>
              </controlPr>
            </control>
          </mc:Choice>
        </mc:AlternateContent>
        <mc:AlternateContent xmlns:mc="http://schemas.openxmlformats.org/markup-compatibility/2006">
          <mc:Choice Requires="x14">
            <control shapeId="82047" r:id="rId130" name="Option Button 127">
              <controlPr defaultSize="0" autoFill="0" autoLine="0" autoPict="0">
                <anchor moveWithCells="1">
                  <from>
                    <xdr:col>4</xdr:col>
                    <xdr:colOff>222250</xdr:colOff>
                    <xdr:row>43</xdr:row>
                    <xdr:rowOff>19050</xdr:rowOff>
                  </from>
                  <to>
                    <xdr:col>4</xdr:col>
                    <xdr:colOff>412750</xdr:colOff>
                    <xdr:row>43</xdr:row>
                    <xdr:rowOff>228600</xdr:rowOff>
                  </to>
                </anchor>
              </controlPr>
            </control>
          </mc:Choice>
        </mc:AlternateContent>
        <mc:AlternateContent xmlns:mc="http://schemas.openxmlformats.org/markup-compatibility/2006">
          <mc:Choice Requires="x14">
            <control shapeId="82048" r:id="rId131" name="Option Button 128">
              <controlPr defaultSize="0" autoFill="0" autoLine="0" autoPict="0">
                <anchor moveWithCells="1">
                  <from>
                    <xdr:col>5</xdr:col>
                    <xdr:colOff>222250</xdr:colOff>
                    <xdr:row>43</xdr:row>
                    <xdr:rowOff>19050</xdr:rowOff>
                  </from>
                  <to>
                    <xdr:col>5</xdr:col>
                    <xdr:colOff>412750</xdr:colOff>
                    <xdr:row>43</xdr:row>
                    <xdr:rowOff>228600</xdr:rowOff>
                  </to>
                </anchor>
              </controlPr>
            </control>
          </mc:Choice>
        </mc:AlternateContent>
        <mc:AlternateContent xmlns:mc="http://schemas.openxmlformats.org/markup-compatibility/2006">
          <mc:Choice Requires="x14">
            <control shapeId="82049" r:id="rId132" name="Option Button 129">
              <controlPr defaultSize="0" autoFill="0" autoLine="0" autoPict="0">
                <anchor moveWithCells="1">
                  <from>
                    <xdr:col>6</xdr:col>
                    <xdr:colOff>222250</xdr:colOff>
                    <xdr:row>43</xdr:row>
                    <xdr:rowOff>19050</xdr:rowOff>
                  </from>
                  <to>
                    <xdr:col>6</xdr:col>
                    <xdr:colOff>412750</xdr:colOff>
                    <xdr:row>43</xdr:row>
                    <xdr:rowOff>228600</xdr:rowOff>
                  </to>
                </anchor>
              </controlPr>
            </control>
          </mc:Choice>
        </mc:AlternateContent>
        <mc:AlternateContent xmlns:mc="http://schemas.openxmlformats.org/markup-compatibility/2006">
          <mc:Choice Requires="x14">
            <control shapeId="82050" r:id="rId133" name="Option Button 130">
              <controlPr defaultSize="0" autoFill="0" autoLine="0" autoPict="0">
                <anchor moveWithCells="1">
                  <from>
                    <xdr:col>3</xdr:col>
                    <xdr:colOff>222250</xdr:colOff>
                    <xdr:row>44</xdr:row>
                    <xdr:rowOff>19050</xdr:rowOff>
                  </from>
                  <to>
                    <xdr:col>3</xdr:col>
                    <xdr:colOff>412750</xdr:colOff>
                    <xdr:row>44</xdr:row>
                    <xdr:rowOff>228600</xdr:rowOff>
                  </to>
                </anchor>
              </controlPr>
            </control>
          </mc:Choice>
        </mc:AlternateContent>
        <mc:AlternateContent xmlns:mc="http://schemas.openxmlformats.org/markup-compatibility/2006">
          <mc:Choice Requires="x14">
            <control shapeId="82051" r:id="rId134" name="Option Button 131">
              <controlPr defaultSize="0" autoFill="0" autoLine="0" autoPict="0">
                <anchor moveWithCells="1">
                  <from>
                    <xdr:col>4</xdr:col>
                    <xdr:colOff>222250</xdr:colOff>
                    <xdr:row>44</xdr:row>
                    <xdr:rowOff>19050</xdr:rowOff>
                  </from>
                  <to>
                    <xdr:col>4</xdr:col>
                    <xdr:colOff>412750</xdr:colOff>
                    <xdr:row>44</xdr:row>
                    <xdr:rowOff>228600</xdr:rowOff>
                  </to>
                </anchor>
              </controlPr>
            </control>
          </mc:Choice>
        </mc:AlternateContent>
        <mc:AlternateContent xmlns:mc="http://schemas.openxmlformats.org/markup-compatibility/2006">
          <mc:Choice Requires="x14">
            <control shapeId="82052" r:id="rId135" name="Option Button 132">
              <controlPr defaultSize="0" autoFill="0" autoLine="0" autoPict="0">
                <anchor moveWithCells="1">
                  <from>
                    <xdr:col>5</xdr:col>
                    <xdr:colOff>222250</xdr:colOff>
                    <xdr:row>44</xdr:row>
                    <xdr:rowOff>19050</xdr:rowOff>
                  </from>
                  <to>
                    <xdr:col>5</xdr:col>
                    <xdr:colOff>412750</xdr:colOff>
                    <xdr:row>44</xdr:row>
                    <xdr:rowOff>228600</xdr:rowOff>
                  </to>
                </anchor>
              </controlPr>
            </control>
          </mc:Choice>
        </mc:AlternateContent>
        <mc:AlternateContent xmlns:mc="http://schemas.openxmlformats.org/markup-compatibility/2006">
          <mc:Choice Requires="x14">
            <control shapeId="82053" r:id="rId136" name="Option Button 133">
              <controlPr defaultSize="0" autoFill="0" autoLine="0" autoPict="0">
                <anchor moveWithCells="1">
                  <from>
                    <xdr:col>6</xdr:col>
                    <xdr:colOff>222250</xdr:colOff>
                    <xdr:row>44</xdr:row>
                    <xdr:rowOff>19050</xdr:rowOff>
                  </from>
                  <to>
                    <xdr:col>6</xdr:col>
                    <xdr:colOff>412750</xdr:colOff>
                    <xdr:row>44</xdr:row>
                    <xdr:rowOff>228600</xdr:rowOff>
                  </to>
                </anchor>
              </controlPr>
            </control>
          </mc:Choice>
        </mc:AlternateContent>
        <mc:AlternateContent xmlns:mc="http://schemas.openxmlformats.org/markup-compatibility/2006">
          <mc:Choice Requires="x14">
            <control shapeId="82054" r:id="rId137" name="Option Button 134">
              <controlPr defaultSize="0" autoFill="0" autoLine="0" autoPict="0">
                <anchor moveWithCells="1">
                  <from>
                    <xdr:col>3</xdr:col>
                    <xdr:colOff>222250</xdr:colOff>
                    <xdr:row>45</xdr:row>
                    <xdr:rowOff>19050</xdr:rowOff>
                  </from>
                  <to>
                    <xdr:col>3</xdr:col>
                    <xdr:colOff>412750</xdr:colOff>
                    <xdr:row>45</xdr:row>
                    <xdr:rowOff>228600</xdr:rowOff>
                  </to>
                </anchor>
              </controlPr>
            </control>
          </mc:Choice>
        </mc:AlternateContent>
        <mc:AlternateContent xmlns:mc="http://schemas.openxmlformats.org/markup-compatibility/2006">
          <mc:Choice Requires="x14">
            <control shapeId="82055" r:id="rId138" name="Option Button 135">
              <controlPr defaultSize="0" autoFill="0" autoLine="0" autoPict="0">
                <anchor moveWithCells="1">
                  <from>
                    <xdr:col>4</xdr:col>
                    <xdr:colOff>222250</xdr:colOff>
                    <xdr:row>45</xdr:row>
                    <xdr:rowOff>19050</xdr:rowOff>
                  </from>
                  <to>
                    <xdr:col>4</xdr:col>
                    <xdr:colOff>412750</xdr:colOff>
                    <xdr:row>45</xdr:row>
                    <xdr:rowOff>228600</xdr:rowOff>
                  </to>
                </anchor>
              </controlPr>
            </control>
          </mc:Choice>
        </mc:AlternateContent>
        <mc:AlternateContent xmlns:mc="http://schemas.openxmlformats.org/markup-compatibility/2006">
          <mc:Choice Requires="x14">
            <control shapeId="82056" r:id="rId139" name="Option Button 136">
              <controlPr defaultSize="0" autoFill="0" autoLine="0" autoPict="0">
                <anchor moveWithCells="1">
                  <from>
                    <xdr:col>5</xdr:col>
                    <xdr:colOff>222250</xdr:colOff>
                    <xdr:row>45</xdr:row>
                    <xdr:rowOff>19050</xdr:rowOff>
                  </from>
                  <to>
                    <xdr:col>5</xdr:col>
                    <xdr:colOff>412750</xdr:colOff>
                    <xdr:row>45</xdr:row>
                    <xdr:rowOff>228600</xdr:rowOff>
                  </to>
                </anchor>
              </controlPr>
            </control>
          </mc:Choice>
        </mc:AlternateContent>
        <mc:AlternateContent xmlns:mc="http://schemas.openxmlformats.org/markup-compatibility/2006">
          <mc:Choice Requires="x14">
            <control shapeId="82057" r:id="rId140" name="Option Button 137">
              <controlPr defaultSize="0" autoFill="0" autoLine="0" autoPict="0">
                <anchor moveWithCells="1">
                  <from>
                    <xdr:col>6</xdr:col>
                    <xdr:colOff>222250</xdr:colOff>
                    <xdr:row>45</xdr:row>
                    <xdr:rowOff>19050</xdr:rowOff>
                  </from>
                  <to>
                    <xdr:col>6</xdr:col>
                    <xdr:colOff>412750</xdr:colOff>
                    <xdr:row>45</xdr:row>
                    <xdr:rowOff>228600</xdr:rowOff>
                  </to>
                </anchor>
              </controlPr>
            </control>
          </mc:Choice>
        </mc:AlternateContent>
        <mc:AlternateContent xmlns:mc="http://schemas.openxmlformats.org/markup-compatibility/2006">
          <mc:Choice Requires="x14">
            <control shapeId="82058" r:id="rId141" name="Option Button 138">
              <controlPr defaultSize="0" autoFill="0" autoLine="0" autoPict="0">
                <anchor moveWithCells="1">
                  <from>
                    <xdr:col>3</xdr:col>
                    <xdr:colOff>222250</xdr:colOff>
                    <xdr:row>46</xdr:row>
                    <xdr:rowOff>19050</xdr:rowOff>
                  </from>
                  <to>
                    <xdr:col>3</xdr:col>
                    <xdr:colOff>412750</xdr:colOff>
                    <xdr:row>46</xdr:row>
                    <xdr:rowOff>228600</xdr:rowOff>
                  </to>
                </anchor>
              </controlPr>
            </control>
          </mc:Choice>
        </mc:AlternateContent>
        <mc:AlternateContent xmlns:mc="http://schemas.openxmlformats.org/markup-compatibility/2006">
          <mc:Choice Requires="x14">
            <control shapeId="82059" r:id="rId142" name="Option Button 139">
              <controlPr defaultSize="0" autoFill="0" autoLine="0" autoPict="0">
                <anchor moveWithCells="1">
                  <from>
                    <xdr:col>4</xdr:col>
                    <xdr:colOff>222250</xdr:colOff>
                    <xdr:row>46</xdr:row>
                    <xdr:rowOff>19050</xdr:rowOff>
                  </from>
                  <to>
                    <xdr:col>4</xdr:col>
                    <xdr:colOff>412750</xdr:colOff>
                    <xdr:row>46</xdr:row>
                    <xdr:rowOff>228600</xdr:rowOff>
                  </to>
                </anchor>
              </controlPr>
            </control>
          </mc:Choice>
        </mc:AlternateContent>
        <mc:AlternateContent xmlns:mc="http://schemas.openxmlformats.org/markup-compatibility/2006">
          <mc:Choice Requires="x14">
            <control shapeId="82060" r:id="rId143" name="Option Button 140">
              <controlPr defaultSize="0" autoFill="0" autoLine="0" autoPict="0">
                <anchor moveWithCells="1">
                  <from>
                    <xdr:col>5</xdr:col>
                    <xdr:colOff>222250</xdr:colOff>
                    <xdr:row>46</xdr:row>
                    <xdr:rowOff>19050</xdr:rowOff>
                  </from>
                  <to>
                    <xdr:col>5</xdr:col>
                    <xdr:colOff>412750</xdr:colOff>
                    <xdr:row>46</xdr:row>
                    <xdr:rowOff>228600</xdr:rowOff>
                  </to>
                </anchor>
              </controlPr>
            </control>
          </mc:Choice>
        </mc:AlternateContent>
        <mc:AlternateContent xmlns:mc="http://schemas.openxmlformats.org/markup-compatibility/2006">
          <mc:Choice Requires="x14">
            <control shapeId="82061" r:id="rId144" name="Option Button 141">
              <controlPr defaultSize="0" autoFill="0" autoLine="0" autoPict="0">
                <anchor moveWithCells="1">
                  <from>
                    <xdr:col>6</xdr:col>
                    <xdr:colOff>222250</xdr:colOff>
                    <xdr:row>46</xdr:row>
                    <xdr:rowOff>19050</xdr:rowOff>
                  </from>
                  <to>
                    <xdr:col>6</xdr:col>
                    <xdr:colOff>412750</xdr:colOff>
                    <xdr:row>46</xdr:row>
                    <xdr:rowOff>228600</xdr:rowOff>
                  </to>
                </anchor>
              </controlPr>
            </control>
          </mc:Choice>
        </mc:AlternateContent>
        <mc:AlternateContent xmlns:mc="http://schemas.openxmlformats.org/markup-compatibility/2006">
          <mc:Choice Requires="x14">
            <control shapeId="82062" r:id="rId145" name="Option Button 142">
              <controlPr defaultSize="0" autoFill="0" autoLine="0" autoPict="0">
                <anchor moveWithCells="1">
                  <from>
                    <xdr:col>3</xdr:col>
                    <xdr:colOff>222250</xdr:colOff>
                    <xdr:row>47</xdr:row>
                    <xdr:rowOff>19050</xdr:rowOff>
                  </from>
                  <to>
                    <xdr:col>3</xdr:col>
                    <xdr:colOff>412750</xdr:colOff>
                    <xdr:row>47</xdr:row>
                    <xdr:rowOff>228600</xdr:rowOff>
                  </to>
                </anchor>
              </controlPr>
            </control>
          </mc:Choice>
        </mc:AlternateContent>
        <mc:AlternateContent xmlns:mc="http://schemas.openxmlformats.org/markup-compatibility/2006">
          <mc:Choice Requires="x14">
            <control shapeId="82063" r:id="rId146" name="Option Button 143">
              <controlPr defaultSize="0" autoFill="0" autoLine="0" autoPict="0">
                <anchor moveWithCells="1">
                  <from>
                    <xdr:col>4</xdr:col>
                    <xdr:colOff>222250</xdr:colOff>
                    <xdr:row>47</xdr:row>
                    <xdr:rowOff>19050</xdr:rowOff>
                  </from>
                  <to>
                    <xdr:col>4</xdr:col>
                    <xdr:colOff>412750</xdr:colOff>
                    <xdr:row>47</xdr:row>
                    <xdr:rowOff>228600</xdr:rowOff>
                  </to>
                </anchor>
              </controlPr>
            </control>
          </mc:Choice>
        </mc:AlternateContent>
        <mc:AlternateContent xmlns:mc="http://schemas.openxmlformats.org/markup-compatibility/2006">
          <mc:Choice Requires="x14">
            <control shapeId="82064" r:id="rId147" name="Option Button 144">
              <controlPr defaultSize="0" autoFill="0" autoLine="0" autoPict="0">
                <anchor moveWithCells="1">
                  <from>
                    <xdr:col>5</xdr:col>
                    <xdr:colOff>222250</xdr:colOff>
                    <xdr:row>47</xdr:row>
                    <xdr:rowOff>19050</xdr:rowOff>
                  </from>
                  <to>
                    <xdr:col>5</xdr:col>
                    <xdr:colOff>412750</xdr:colOff>
                    <xdr:row>47</xdr:row>
                    <xdr:rowOff>228600</xdr:rowOff>
                  </to>
                </anchor>
              </controlPr>
            </control>
          </mc:Choice>
        </mc:AlternateContent>
        <mc:AlternateContent xmlns:mc="http://schemas.openxmlformats.org/markup-compatibility/2006">
          <mc:Choice Requires="x14">
            <control shapeId="82065" r:id="rId148" name="Option Button 145">
              <controlPr defaultSize="0" autoFill="0" autoLine="0" autoPict="0">
                <anchor moveWithCells="1">
                  <from>
                    <xdr:col>6</xdr:col>
                    <xdr:colOff>222250</xdr:colOff>
                    <xdr:row>47</xdr:row>
                    <xdr:rowOff>19050</xdr:rowOff>
                  </from>
                  <to>
                    <xdr:col>6</xdr:col>
                    <xdr:colOff>412750</xdr:colOff>
                    <xdr:row>47</xdr:row>
                    <xdr:rowOff>228600</xdr:rowOff>
                  </to>
                </anchor>
              </controlPr>
            </control>
          </mc:Choice>
        </mc:AlternateContent>
        <mc:AlternateContent xmlns:mc="http://schemas.openxmlformats.org/markup-compatibility/2006">
          <mc:Choice Requires="x14">
            <control shapeId="82066" r:id="rId149" name="Option Button 146">
              <controlPr defaultSize="0" autoFill="0" autoLine="0" autoPict="0">
                <anchor moveWithCells="1">
                  <from>
                    <xdr:col>3</xdr:col>
                    <xdr:colOff>222250</xdr:colOff>
                    <xdr:row>48</xdr:row>
                    <xdr:rowOff>19050</xdr:rowOff>
                  </from>
                  <to>
                    <xdr:col>3</xdr:col>
                    <xdr:colOff>412750</xdr:colOff>
                    <xdr:row>48</xdr:row>
                    <xdr:rowOff>228600</xdr:rowOff>
                  </to>
                </anchor>
              </controlPr>
            </control>
          </mc:Choice>
        </mc:AlternateContent>
        <mc:AlternateContent xmlns:mc="http://schemas.openxmlformats.org/markup-compatibility/2006">
          <mc:Choice Requires="x14">
            <control shapeId="82067" r:id="rId150" name="Option Button 147">
              <controlPr defaultSize="0" autoFill="0" autoLine="0" autoPict="0">
                <anchor moveWithCells="1">
                  <from>
                    <xdr:col>4</xdr:col>
                    <xdr:colOff>222250</xdr:colOff>
                    <xdr:row>48</xdr:row>
                    <xdr:rowOff>19050</xdr:rowOff>
                  </from>
                  <to>
                    <xdr:col>4</xdr:col>
                    <xdr:colOff>412750</xdr:colOff>
                    <xdr:row>48</xdr:row>
                    <xdr:rowOff>228600</xdr:rowOff>
                  </to>
                </anchor>
              </controlPr>
            </control>
          </mc:Choice>
        </mc:AlternateContent>
        <mc:AlternateContent xmlns:mc="http://schemas.openxmlformats.org/markup-compatibility/2006">
          <mc:Choice Requires="x14">
            <control shapeId="82068" r:id="rId151" name="Option Button 148">
              <controlPr defaultSize="0" autoFill="0" autoLine="0" autoPict="0">
                <anchor moveWithCells="1">
                  <from>
                    <xdr:col>5</xdr:col>
                    <xdr:colOff>222250</xdr:colOff>
                    <xdr:row>48</xdr:row>
                    <xdr:rowOff>19050</xdr:rowOff>
                  </from>
                  <to>
                    <xdr:col>5</xdr:col>
                    <xdr:colOff>412750</xdr:colOff>
                    <xdr:row>48</xdr:row>
                    <xdr:rowOff>228600</xdr:rowOff>
                  </to>
                </anchor>
              </controlPr>
            </control>
          </mc:Choice>
        </mc:AlternateContent>
        <mc:AlternateContent xmlns:mc="http://schemas.openxmlformats.org/markup-compatibility/2006">
          <mc:Choice Requires="x14">
            <control shapeId="82069" r:id="rId152" name="Option Button 149">
              <controlPr defaultSize="0" autoFill="0" autoLine="0" autoPict="0">
                <anchor moveWithCells="1">
                  <from>
                    <xdr:col>6</xdr:col>
                    <xdr:colOff>222250</xdr:colOff>
                    <xdr:row>48</xdr:row>
                    <xdr:rowOff>19050</xdr:rowOff>
                  </from>
                  <to>
                    <xdr:col>6</xdr:col>
                    <xdr:colOff>412750</xdr:colOff>
                    <xdr:row>48</xdr:row>
                    <xdr:rowOff>228600</xdr:rowOff>
                  </to>
                </anchor>
              </controlPr>
            </control>
          </mc:Choice>
        </mc:AlternateContent>
        <mc:AlternateContent xmlns:mc="http://schemas.openxmlformats.org/markup-compatibility/2006">
          <mc:Choice Requires="x14">
            <control shapeId="82082" r:id="rId153" name="Group Box 162">
              <controlPr defaultSize="0" print="0" autoFill="0" autoPict="0">
                <anchor moveWithCells="1">
                  <from>
                    <xdr:col>3</xdr:col>
                    <xdr:colOff>0</xdr:colOff>
                    <xdr:row>13</xdr:row>
                    <xdr:rowOff>0</xdr:rowOff>
                  </from>
                  <to>
                    <xdr:col>6</xdr:col>
                    <xdr:colOff>603250</xdr:colOff>
                    <xdr:row>14</xdr:row>
                    <xdr:rowOff>0</xdr:rowOff>
                  </to>
                </anchor>
              </controlPr>
            </control>
          </mc:Choice>
        </mc:AlternateContent>
        <mc:AlternateContent xmlns:mc="http://schemas.openxmlformats.org/markup-compatibility/2006">
          <mc:Choice Requires="x14">
            <control shapeId="82083" r:id="rId154" name="Group Box 163">
              <controlPr defaultSize="0" print="0" autoFill="0" autoPict="0">
                <anchor moveWithCells="1">
                  <from>
                    <xdr:col>3</xdr:col>
                    <xdr:colOff>0</xdr:colOff>
                    <xdr:row>14</xdr:row>
                    <xdr:rowOff>0</xdr:rowOff>
                  </from>
                  <to>
                    <xdr:col>6</xdr:col>
                    <xdr:colOff>603250</xdr:colOff>
                    <xdr:row>15</xdr:row>
                    <xdr:rowOff>0</xdr:rowOff>
                  </to>
                </anchor>
              </controlPr>
            </control>
          </mc:Choice>
        </mc:AlternateContent>
        <mc:AlternateContent xmlns:mc="http://schemas.openxmlformats.org/markup-compatibility/2006">
          <mc:Choice Requires="x14">
            <control shapeId="82084" r:id="rId155" name="Group Box 164">
              <controlPr defaultSize="0" print="0" autoFill="0" autoPict="0">
                <anchor moveWithCells="1">
                  <from>
                    <xdr:col>3</xdr:col>
                    <xdr:colOff>0</xdr:colOff>
                    <xdr:row>15</xdr:row>
                    <xdr:rowOff>0</xdr:rowOff>
                  </from>
                  <to>
                    <xdr:col>6</xdr:col>
                    <xdr:colOff>603250</xdr:colOff>
                    <xdr:row>16</xdr:row>
                    <xdr:rowOff>0</xdr:rowOff>
                  </to>
                </anchor>
              </controlPr>
            </control>
          </mc:Choice>
        </mc:AlternateContent>
        <mc:AlternateContent xmlns:mc="http://schemas.openxmlformats.org/markup-compatibility/2006">
          <mc:Choice Requires="x14">
            <control shapeId="82085" r:id="rId156" name="Group Box 165">
              <controlPr defaultSize="0" print="0" autoFill="0" autoPict="0">
                <anchor moveWithCells="1">
                  <from>
                    <xdr:col>3</xdr:col>
                    <xdr:colOff>0</xdr:colOff>
                    <xdr:row>16</xdr:row>
                    <xdr:rowOff>0</xdr:rowOff>
                  </from>
                  <to>
                    <xdr:col>6</xdr:col>
                    <xdr:colOff>603250</xdr:colOff>
                    <xdr:row>17</xdr:row>
                    <xdr:rowOff>0</xdr:rowOff>
                  </to>
                </anchor>
              </controlPr>
            </control>
          </mc:Choice>
        </mc:AlternateContent>
        <mc:AlternateContent xmlns:mc="http://schemas.openxmlformats.org/markup-compatibility/2006">
          <mc:Choice Requires="x14">
            <control shapeId="82086" r:id="rId157" name="Group Box 166">
              <controlPr defaultSize="0" print="0" autoFill="0" autoPict="0">
                <anchor moveWithCells="1">
                  <from>
                    <xdr:col>3</xdr:col>
                    <xdr:colOff>0</xdr:colOff>
                    <xdr:row>17</xdr:row>
                    <xdr:rowOff>0</xdr:rowOff>
                  </from>
                  <to>
                    <xdr:col>6</xdr:col>
                    <xdr:colOff>603250</xdr:colOff>
                    <xdr:row>18</xdr:row>
                    <xdr:rowOff>0</xdr:rowOff>
                  </to>
                </anchor>
              </controlPr>
            </control>
          </mc:Choice>
        </mc:AlternateContent>
        <mc:AlternateContent xmlns:mc="http://schemas.openxmlformats.org/markup-compatibility/2006">
          <mc:Choice Requires="x14">
            <control shapeId="82087" r:id="rId158" name="Group Box 167">
              <controlPr defaultSize="0" print="0" autoFill="0" autoPict="0">
                <anchor moveWithCells="1">
                  <from>
                    <xdr:col>3</xdr:col>
                    <xdr:colOff>0</xdr:colOff>
                    <xdr:row>18</xdr:row>
                    <xdr:rowOff>0</xdr:rowOff>
                  </from>
                  <to>
                    <xdr:col>6</xdr:col>
                    <xdr:colOff>603250</xdr:colOff>
                    <xdr:row>19</xdr:row>
                    <xdr:rowOff>0</xdr:rowOff>
                  </to>
                </anchor>
              </controlPr>
            </control>
          </mc:Choice>
        </mc:AlternateContent>
        <mc:AlternateContent xmlns:mc="http://schemas.openxmlformats.org/markup-compatibility/2006">
          <mc:Choice Requires="x14">
            <control shapeId="82088" r:id="rId159" name="Group Box 168">
              <controlPr defaultSize="0" print="0" autoFill="0" autoPict="0">
                <anchor moveWithCells="1">
                  <from>
                    <xdr:col>3</xdr:col>
                    <xdr:colOff>0</xdr:colOff>
                    <xdr:row>19</xdr:row>
                    <xdr:rowOff>0</xdr:rowOff>
                  </from>
                  <to>
                    <xdr:col>6</xdr:col>
                    <xdr:colOff>603250</xdr:colOff>
                    <xdr:row>20</xdr:row>
                    <xdr:rowOff>0</xdr:rowOff>
                  </to>
                </anchor>
              </controlPr>
            </control>
          </mc:Choice>
        </mc:AlternateContent>
        <mc:AlternateContent xmlns:mc="http://schemas.openxmlformats.org/markup-compatibility/2006">
          <mc:Choice Requires="x14">
            <control shapeId="82089" r:id="rId160" name="Group Box 169">
              <controlPr defaultSize="0" print="0" autoFill="0" autoPict="0">
                <anchor moveWithCells="1">
                  <from>
                    <xdr:col>3</xdr:col>
                    <xdr:colOff>0</xdr:colOff>
                    <xdr:row>20</xdr:row>
                    <xdr:rowOff>0</xdr:rowOff>
                  </from>
                  <to>
                    <xdr:col>6</xdr:col>
                    <xdr:colOff>603250</xdr:colOff>
                    <xdr:row>21</xdr:row>
                    <xdr:rowOff>0</xdr:rowOff>
                  </to>
                </anchor>
              </controlPr>
            </control>
          </mc:Choice>
        </mc:AlternateContent>
        <mc:AlternateContent xmlns:mc="http://schemas.openxmlformats.org/markup-compatibility/2006">
          <mc:Choice Requires="x14">
            <control shapeId="82090" r:id="rId161" name="Group Box 170">
              <controlPr defaultSize="0" print="0" autoFill="0" autoPict="0">
                <anchor moveWithCells="1">
                  <from>
                    <xdr:col>3</xdr:col>
                    <xdr:colOff>0</xdr:colOff>
                    <xdr:row>21</xdr:row>
                    <xdr:rowOff>0</xdr:rowOff>
                  </from>
                  <to>
                    <xdr:col>6</xdr:col>
                    <xdr:colOff>603250</xdr:colOff>
                    <xdr:row>22</xdr:row>
                    <xdr:rowOff>0</xdr:rowOff>
                  </to>
                </anchor>
              </controlPr>
            </control>
          </mc:Choice>
        </mc:AlternateContent>
        <mc:AlternateContent xmlns:mc="http://schemas.openxmlformats.org/markup-compatibility/2006">
          <mc:Choice Requires="x14">
            <control shapeId="82091" r:id="rId162" name="Group Box 171">
              <controlPr defaultSize="0" print="0" autoFill="0" autoPict="0">
                <anchor moveWithCells="1">
                  <from>
                    <xdr:col>3</xdr:col>
                    <xdr:colOff>0</xdr:colOff>
                    <xdr:row>22</xdr:row>
                    <xdr:rowOff>0</xdr:rowOff>
                  </from>
                  <to>
                    <xdr:col>6</xdr:col>
                    <xdr:colOff>603250</xdr:colOff>
                    <xdr:row>23</xdr:row>
                    <xdr:rowOff>0</xdr:rowOff>
                  </to>
                </anchor>
              </controlPr>
            </control>
          </mc:Choice>
        </mc:AlternateContent>
        <mc:AlternateContent xmlns:mc="http://schemas.openxmlformats.org/markup-compatibility/2006">
          <mc:Choice Requires="x14">
            <control shapeId="82092" r:id="rId163" name="Group Box 172">
              <controlPr defaultSize="0" print="0" autoFill="0" autoPict="0">
                <anchor moveWithCells="1">
                  <from>
                    <xdr:col>3</xdr:col>
                    <xdr:colOff>0</xdr:colOff>
                    <xdr:row>23</xdr:row>
                    <xdr:rowOff>0</xdr:rowOff>
                  </from>
                  <to>
                    <xdr:col>6</xdr:col>
                    <xdr:colOff>603250</xdr:colOff>
                    <xdr:row>24</xdr:row>
                    <xdr:rowOff>0</xdr:rowOff>
                  </to>
                </anchor>
              </controlPr>
            </control>
          </mc:Choice>
        </mc:AlternateContent>
        <mc:AlternateContent xmlns:mc="http://schemas.openxmlformats.org/markup-compatibility/2006">
          <mc:Choice Requires="x14">
            <control shapeId="82093" r:id="rId164" name="Group Box 173">
              <controlPr defaultSize="0" print="0" autoFill="0" autoPict="0">
                <anchor moveWithCells="1">
                  <from>
                    <xdr:col>3</xdr:col>
                    <xdr:colOff>0</xdr:colOff>
                    <xdr:row>24</xdr:row>
                    <xdr:rowOff>0</xdr:rowOff>
                  </from>
                  <to>
                    <xdr:col>6</xdr:col>
                    <xdr:colOff>603250</xdr:colOff>
                    <xdr:row>25</xdr:row>
                    <xdr:rowOff>0</xdr:rowOff>
                  </to>
                </anchor>
              </controlPr>
            </control>
          </mc:Choice>
        </mc:AlternateContent>
        <mc:AlternateContent xmlns:mc="http://schemas.openxmlformats.org/markup-compatibility/2006">
          <mc:Choice Requires="x14">
            <control shapeId="82094" r:id="rId165" name="Group Box 174">
              <controlPr defaultSize="0" print="0" autoFill="0" autoPict="0">
                <anchor moveWithCells="1">
                  <from>
                    <xdr:col>3</xdr:col>
                    <xdr:colOff>0</xdr:colOff>
                    <xdr:row>25</xdr:row>
                    <xdr:rowOff>0</xdr:rowOff>
                  </from>
                  <to>
                    <xdr:col>6</xdr:col>
                    <xdr:colOff>603250</xdr:colOff>
                    <xdr:row>26</xdr:row>
                    <xdr:rowOff>0</xdr:rowOff>
                  </to>
                </anchor>
              </controlPr>
            </control>
          </mc:Choice>
        </mc:AlternateContent>
        <mc:AlternateContent xmlns:mc="http://schemas.openxmlformats.org/markup-compatibility/2006">
          <mc:Choice Requires="x14">
            <control shapeId="82095" r:id="rId166" name="Group Box 175">
              <controlPr defaultSize="0" print="0" autoFill="0" autoPict="0">
                <anchor moveWithCells="1">
                  <from>
                    <xdr:col>3</xdr:col>
                    <xdr:colOff>0</xdr:colOff>
                    <xdr:row>26</xdr:row>
                    <xdr:rowOff>0</xdr:rowOff>
                  </from>
                  <to>
                    <xdr:col>6</xdr:col>
                    <xdr:colOff>603250</xdr:colOff>
                    <xdr:row>27</xdr:row>
                    <xdr:rowOff>0</xdr:rowOff>
                  </to>
                </anchor>
              </controlPr>
            </control>
          </mc:Choice>
        </mc:AlternateContent>
        <mc:AlternateContent xmlns:mc="http://schemas.openxmlformats.org/markup-compatibility/2006">
          <mc:Choice Requires="x14">
            <control shapeId="82096" r:id="rId167" name="Group Box 176">
              <controlPr defaultSize="0" print="0" autoFill="0" autoPict="0">
                <anchor moveWithCells="1">
                  <from>
                    <xdr:col>3</xdr:col>
                    <xdr:colOff>0</xdr:colOff>
                    <xdr:row>27</xdr:row>
                    <xdr:rowOff>0</xdr:rowOff>
                  </from>
                  <to>
                    <xdr:col>6</xdr:col>
                    <xdr:colOff>603250</xdr:colOff>
                    <xdr:row>28</xdr:row>
                    <xdr:rowOff>0</xdr:rowOff>
                  </to>
                </anchor>
              </controlPr>
            </control>
          </mc:Choice>
        </mc:AlternateContent>
        <mc:AlternateContent xmlns:mc="http://schemas.openxmlformats.org/markup-compatibility/2006">
          <mc:Choice Requires="x14">
            <control shapeId="82097" r:id="rId168" name="Group Box 177">
              <controlPr defaultSize="0" print="0" autoFill="0" autoPict="0">
                <anchor moveWithCells="1">
                  <from>
                    <xdr:col>3</xdr:col>
                    <xdr:colOff>0</xdr:colOff>
                    <xdr:row>28</xdr:row>
                    <xdr:rowOff>0</xdr:rowOff>
                  </from>
                  <to>
                    <xdr:col>6</xdr:col>
                    <xdr:colOff>603250</xdr:colOff>
                    <xdr:row>29</xdr:row>
                    <xdr:rowOff>0</xdr:rowOff>
                  </to>
                </anchor>
              </controlPr>
            </control>
          </mc:Choice>
        </mc:AlternateContent>
        <mc:AlternateContent xmlns:mc="http://schemas.openxmlformats.org/markup-compatibility/2006">
          <mc:Choice Requires="x14">
            <control shapeId="82098" r:id="rId169" name="Group Box 178">
              <controlPr defaultSize="0" print="0" autoFill="0" autoPict="0">
                <anchor moveWithCells="1">
                  <from>
                    <xdr:col>3</xdr:col>
                    <xdr:colOff>0</xdr:colOff>
                    <xdr:row>29</xdr:row>
                    <xdr:rowOff>0</xdr:rowOff>
                  </from>
                  <to>
                    <xdr:col>6</xdr:col>
                    <xdr:colOff>603250</xdr:colOff>
                    <xdr:row>30</xdr:row>
                    <xdr:rowOff>0</xdr:rowOff>
                  </to>
                </anchor>
              </controlPr>
            </control>
          </mc:Choice>
        </mc:AlternateContent>
        <mc:AlternateContent xmlns:mc="http://schemas.openxmlformats.org/markup-compatibility/2006">
          <mc:Choice Requires="x14">
            <control shapeId="82099" r:id="rId170" name="Group Box 179">
              <controlPr defaultSize="0" print="0" autoFill="0" autoPict="0">
                <anchor moveWithCells="1">
                  <from>
                    <xdr:col>3</xdr:col>
                    <xdr:colOff>0</xdr:colOff>
                    <xdr:row>30</xdr:row>
                    <xdr:rowOff>0</xdr:rowOff>
                  </from>
                  <to>
                    <xdr:col>6</xdr:col>
                    <xdr:colOff>603250</xdr:colOff>
                    <xdr:row>31</xdr:row>
                    <xdr:rowOff>0</xdr:rowOff>
                  </to>
                </anchor>
              </controlPr>
            </control>
          </mc:Choice>
        </mc:AlternateContent>
        <mc:AlternateContent xmlns:mc="http://schemas.openxmlformats.org/markup-compatibility/2006">
          <mc:Choice Requires="x14">
            <control shapeId="82100" r:id="rId171" name="Group Box 180">
              <controlPr defaultSize="0" print="0" autoFill="0" autoPict="0">
                <anchor moveWithCells="1">
                  <from>
                    <xdr:col>3</xdr:col>
                    <xdr:colOff>0</xdr:colOff>
                    <xdr:row>31</xdr:row>
                    <xdr:rowOff>0</xdr:rowOff>
                  </from>
                  <to>
                    <xdr:col>6</xdr:col>
                    <xdr:colOff>603250</xdr:colOff>
                    <xdr:row>32</xdr:row>
                    <xdr:rowOff>0</xdr:rowOff>
                  </to>
                </anchor>
              </controlPr>
            </control>
          </mc:Choice>
        </mc:AlternateContent>
        <mc:AlternateContent xmlns:mc="http://schemas.openxmlformats.org/markup-compatibility/2006">
          <mc:Choice Requires="x14">
            <control shapeId="82101" r:id="rId172" name="Group Box 181">
              <controlPr defaultSize="0" print="0" autoFill="0" autoPict="0">
                <anchor moveWithCells="1">
                  <from>
                    <xdr:col>3</xdr:col>
                    <xdr:colOff>0</xdr:colOff>
                    <xdr:row>32</xdr:row>
                    <xdr:rowOff>0</xdr:rowOff>
                  </from>
                  <to>
                    <xdr:col>6</xdr:col>
                    <xdr:colOff>603250</xdr:colOff>
                    <xdr:row>33</xdr:row>
                    <xdr:rowOff>0</xdr:rowOff>
                  </to>
                </anchor>
              </controlPr>
            </control>
          </mc:Choice>
        </mc:AlternateContent>
        <mc:AlternateContent xmlns:mc="http://schemas.openxmlformats.org/markup-compatibility/2006">
          <mc:Choice Requires="x14">
            <control shapeId="82102" r:id="rId173" name="Group Box 182">
              <controlPr defaultSize="0" print="0" autoFill="0" autoPict="0">
                <anchor moveWithCells="1">
                  <from>
                    <xdr:col>3</xdr:col>
                    <xdr:colOff>0</xdr:colOff>
                    <xdr:row>33</xdr:row>
                    <xdr:rowOff>0</xdr:rowOff>
                  </from>
                  <to>
                    <xdr:col>6</xdr:col>
                    <xdr:colOff>603250</xdr:colOff>
                    <xdr:row>34</xdr:row>
                    <xdr:rowOff>0</xdr:rowOff>
                  </to>
                </anchor>
              </controlPr>
            </control>
          </mc:Choice>
        </mc:AlternateContent>
        <mc:AlternateContent xmlns:mc="http://schemas.openxmlformats.org/markup-compatibility/2006">
          <mc:Choice Requires="x14">
            <control shapeId="82103" r:id="rId174" name="Group Box 183">
              <controlPr defaultSize="0" print="0" autoFill="0" autoPict="0">
                <anchor moveWithCells="1">
                  <from>
                    <xdr:col>3</xdr:col>
                    <xdr:colOff>0</xdr:colOff>
                    <xdr:row>34</xdr:row>
                    <xdr:rowOff>0</xdr:rowOff>
                  </from>
                  <to>
                    <xdr:col>6</xdr:col>
                    <xdr:colOff>603250</xdr:colOff>
                    <xdr:row>35</xdr:row>
                    <xdr:rowOff>0</xdr:rowOff>
                  </to>
                </anchor>
              </controlPr>
            </control>
          </mc:Choice>
        </mc:AlternateContent>
        <mc:AlternateContent xmlns:mc="http://schemas.openxmlformats.org/markup-compatibility/2006">
          <mc:Choice Requires="x14">
            <control shapeId="82104" r:id="rId175" name="Group Box 184">
              <controlPr defaultSize="0" print="0" autoFill="0" autoPict="0">
                <anchor moveWithCells="1">
                  <from>
                    <xdr:col>3</xdr:col>
                    <xdr:colOff>0</xdr:colOff>
                    <xdr:row>35</xdr:row>
                    <xdr:rowOff>0</xdr:rowOff>
                  </from>
                  <to>
                    <xdr:col>6</xdr:col>
                    <xdr:colOff>603250</xdr:colOff>
                    <xdr:row>36</xdr:row>
                    <xdr:rowOff>0</xdr:rowOff>
                  </to>
                </anchor>
              </controlPr>
            </control>
          </mc:Choice>
        </mc:AlternateContent>
        <mc:AlternateContent xmlns:mc="http://schemas.openxmlformats.org/markup-compatibility/2006">
          <mc:Choice Requires="x14">
            <control shapeId="82105" r:id="rId176" name="Group Box 185">
              <controlPr defaultSize="0" print="0" autoFill="0" autoPict="0">
                <anchor moveWithCells="1">
                  <from>
                    <xdr:col>3</xdr:col>
                    <xdr:colOff>0</xdr:colOff>
                    <xdr:row>36</xdr:row>
                    <xdr:rowOff>0</xdr:rowOff>
                  </from>
                  <to>
                    <xdr:col>6</xdr:col>
                    <xdr:colOff>603250</xdr:colOff>
                    <xdr:row>37</xdr:row>
                    <xdr:rowOff>0</xdr:rowOff>
                  </to>
                </anchor>
              </controlPr>
            </control>
          </mc:Choice>
        </mc:AlternateContent>
        <mc:AlternateContent xmlns:mc="http://schemas.openxmlformats.org/markup-compatibility/2006">
          <mc:Choice Requires="x14">
            <control shapeId="82106" r:id="rId177" name="Group Box 186">
              <controlPr defaultSize="0" print="0" autoFill="0" autoPict="0">
                <anchor moveWithCells="1">
                  <from>
                    <xdr:col>3</xdr:col>
                    <xdr:colOff>0</xdr:colOff>
                    <xdr:row>37</xdr:row>
                    <xdr:rowOff>0</xdr:rowOff>
                  </from>
                  <to>
                    <xdr:col>6</xdr:col>
                    <xdr:colOff>603250</xdr:colOff>
                    <xdr:row>38</xdr:row>
                    <xdr:rowOff>0</xdr:rowOff>
                  </to>
                </anchor>
              </controlPr>
            </control>
          </mc:Choice>
        </mc:AlternateContent>
        <mc:AlternateContent xmlns:mc="http://schemas.openxmlformats.org/markup-compatibility/2006">
          <mc:Choice Requires="x14">
            <control shapeId="82107" r:id="rId178" name="Group Box 187">
              <controlPr defaultSize="0" print="0" autoFill="0" autoPict="0">
                <anchor moveWithCells="1">
                  <from>
                    <xdr:col>3</xdr:col>
                    <xdr:colOff>0</xdr:colOff>
                    <xdr:row>38</xdr:row>
                    <xdr:rowOff>0</xdr:rowOff>
                  </from>
                  <to>
                    <xdr:col>6</xdr:col>
                    <xdr:colOff>603250</xdr:colOff>
                    <xdr:row>39</xdr:row>
                    <xdr:rowOff>0</xdr:rowOff>
                  </to>
                </anchor>
              </controlPr>
            </control>
          </mc:Choice>
        </mc:AlternateContent>
        <mc:AlternateContent xmlns:mc="http://schemas.openxmlformats.org/markup-compatibility/2006">
          <mc:Choice Requires="x14">
            <control shapeId="82108" r:id="rId179" name="Group Box 188">
              <controlPr defaultSize="0" print="0" autoFill="0" autoPict="0">
                <anchor moveWithCells="1">
                  <from>
                    <xdr:col>3</xdr:col>
                    <xdr:colOff>0</xdr:colOff>
                    <xdr:row>39</xdr:row>
                    <xdr:rowOff>0</xdr:rowOff>
                  </from>
                  <to>
                    <xdr:col>6</xdr:col>
                    <xdr:colOff>603250</xdr:colOff>
                    <xdr:row>40</xdr:row>
                    <xdr:rowOff>0</xdr:rowOff>
                  </to>
                </anchor>
              </controlPr>
            </control>
          </mc:Choice>
        </mc:AlternateContent>
        <mc:AlternateContent xmlns:mc="http://schemas.openxmlformats.org/markup-compatibility/2006">
          <mc:Choice Requires="x14">
            <control shapeId="82109" r:id="rId180" name="Group Box 189">
              <controlPr defaultSize="0" print="0" autoFill="0" autoPict="0">
                <anchor moveWithCells="1">
                  <from>
                    <xdr:col>3</xdr:col>
                    <xdr:colOff>0</xdr:colOff>
                    <xdr:row>40</xdr:row>
                    <xdr:rowOff>0</xdr:rowOff>
                  </from>
                  <to>
                    <xdr:col>6</xdr:col>
                    <xdr:colOff>603250</xdr:colOff>
                    <xdr:row>41</xdr:row>
                    <xdr:rowOff>0</xdr:rowOff>
                  </to>
                </anchor>
              </controlPr>
            </control>
          </mc:Choice>
        </mc:AlternateContent>
        <mc:AlternateContent xmlns:mc="http://schemas.openxmlformats.org/markup-compatibility/2006">
          <mc:Choice Requires="x14">
            <control shapeId="82110" r:id="rId181" name="Group Box 190">
              <controlPr defaultSize="0" print="0" autoFill="0" autoPict="0">
                <anchor moveWithCells="1">
                  <from>
                    <xdr:col>3</xdr:col>
                    <xdr:colOff>0</xdr:colOff>
                    <xdr:row>41</xdr:row>
                    <xdr:rowOff>0</xdr:rowOff>
                  </from>
                  <to>
                    <xdr:col>6</xdr:col>
                    <xdr:colOff>603250</xdr:colOff>
                    <xdr:row>42</xdr:row>
                    <xdr:rowOff>0</xdr:rowOff>
                  </to>
                </anchor>
              </controlPr>
            </control>
          </mc:Choice>
        </mc:AlternateContent>
        <mc:AlternateContent xmlns:mc="http://schemas.openxmlformats.org/markup-compatibility/2006">
          <mc:Choice Requires="x14">
            <control shapeId="82111" r:id="rId182" name="Group Box 191">
              <controlPr defaultSize="0" print="0" autoFill="0" autoPict="0">
                <anchor moveWithCells="1">
                  <from>
                    <xdr:col>3</xdr:col>
                    <xdr:colOff>0</xdr:colOff>
                    <xdr:row>42</xdr:row>
                    <xdr:rowOff>0</xdr:rowOff>
                  </from>
                  <to>
                    <xdr:col>6</xdr:col>
                    <xdr:colOff>603250</xdr:colOff>
                    <xdr:row>43</xdr:row>
                    <xdr:rowOff>0</xdr:rowOff>
                  </to>
                </anchor>
              </controlPr>
            </control>
          </mc:Choice>
        </mc:AlternateContent>
        <mc:AlternateContent xmlns:mc="http://schemas.openxmlformats.org/markup-compatibility/2006">
          <mc:Choice Requires="x14">
            <control shapeId="82112" r:id="rId183" name="Group Box 192">
              <controlPr defaultSize="0" print="0" autoFill="0" autoPict="0">
                <anchor moveWithCells="1">
                  <from>
                    <xdr:col>3</xdr:col>
                    <xdr:colOff>0</xdr:colOff>
                    <xdr:row>43</xdr:row>
                    <xdr:rowOff>0</xdr:rowOff>
                  </from>
                  <to>
                    <xdr:col>6</xdr:col>
                    <xdr:colOff>603250</xdr:colOff>
                    <xdr:row>44</xdr:row>
                    <xdr:rowOff>0</xdr:rowOff>
                  </to>
                </anchor>
              </controlPr>
            </control>
          </mc:Choice>
        </mc:AlternateContent>
        <mc:AlternateContent xmlns:mc="http://schemas.openxmlformats.org/markup-compatibility/2006">
          <mc:Choice Requires="x14">
            <control shapeId="82113" r:id="rId184" name="Group Box 193">
              <controlPr defaultSize="0" print="0" autoFill="0" autoPict="0">
                <anchor moveWithCells="1">
                  <from>
                    <xdr:col>3</xdr:col>
                    <xdr:colOff>0</xdr:colOff>
                    <xdr:row>44</xdr:row>
                    <xdr:rowOff>0</xdr:rowOff>
                  </from>
                  <to>
                    <xdr:col>6</xdr:col>
                    <xdr:colOff>603250</xdr:colOff>
                    <xdr:row>45</xdr:row>
                    <xdr:rowOff>0</xdr:rowOff>
                  </to>
                </anchor>
              </controlPr>
            </control>
          </mc:Choice>
        </mc:AlternateContent>
        <mc:AlternateContent xmlns:mc="http://schemas.openxmlformats.org/markup-compatibility/2006">
          <mc:Choice Requires="x14">
            <control shapeId="82114" r:id="rId185" name="Group Box 194">
              <controlPr defaultSize="0" print="0" autoFill="0" autoPict="0">
                <anchor moveWithCells="1">
                  <from>
                    <xdr:col>3</xdr:col>
                    <xdr:colOff>0</xdr:colOff>
                    <xdr:row>45</xdr:row>
                    <xdr:rowOff>0</xdr:rowOff>
                  </from>
                  <to>
                    <xdr:col>6</xdr:col>
                    <xdr:colOff>603250</xdr:colOff>
                    <xdr:row>46</xdr:row>
                    <xdr:rowOff>0</xdr:rowOff>
                  </to>
                </anchor>
              </controlPr>
            </control>
          </mc:Choice>
        </mc:AlternateContent>
        <mc:AlternateContent xmlns:mc="http://schemas.openxmlformats.org/markup-compatibility/2006">
          <mc:Choice Requires="x14">
            <control shapeId="82115" r:id="rId186" name="Group Box 195">
              <controlPr defaultSize="0" print="0" autoFill="0" autoPict="0">
                <anchor moveWithCells="1">
                  <from>
                    <xdr:col>3</xdr:col>
                    <xdr:colOff>0</xdr:colOff>
                    <xdr:row>46</xdr:row>
                    <xdr:rowOff>0</xdr:rowOff>
                  </from>
                  <to>
                    <xdr:col>6</xdr:col>
                    <xdr:colOff>603250</xdr:colOff>
                    <xdr:row>47</xdr:row>
                    <xdr:rowOff>0</xdr:rowOff>
                  </to>
                </anchor>
              </controlPr>
            </control>
          </mc:Choice>
        </mc:AlternateContent>
        <mc:AlternateContent xmlns:mc="http://schemas.openxmlformats.org/markup-compatibility/2006">
          <mc:Choice Requires="x14">
            <control shapeId="82116" r:id="rId187" name="Group Box 196">
              <controlPr defaultSize="0" print="0" autoFill="0" autoPict="0">
                <anchor moveWithCells="1">
                  <from>
                    <xdr:col>3</xdr:col>
                    <xdr:colOff>0</xdr:colOff>
                    <xdr:row>47</xdr:row>
                    <xdr:rowOff>0</xdr:rowOff>
                  </from>
                  <to>
                    <xdr:col>6</xdr:col>
                    <xdr:colOff>603250</xdr:colOff>
                    <xdr:row>48</xdr:row>
                    <xdr:rowOff>0</xdr:rowOff>
                  </to>
                </anchor>
              </controlPr>
            </control>
          </mc:Choice>
        </mc:AlternateContent>
        <mc:AlternateContent xmlns:mc="http://schemas.openxmlformats.org/markup-compatibility/2006">
          <mc:Choice Requires="x14">
            <control shapeId="82117" r:id="rId188" name="Group Box 197">
              <controlPr defaultSize="0" print="0" autoFill="0" autoPict="0">
                <anchor moveWithCells="1">
                  <from>
                    <xdr:col>3</xdr:col>
                    <xdr:colOff>0</xdr:colOff>
                    <xdr:row>48</xdr:row>
                    <xdr:rowOff>0</xdr:rowOff>
                  </from>
                  <to>
                    <xdr:col>6</xdr:col>
                    <xdr:colOff>603250</xdr:colOff>
                    <xdr:row>49</xdr:row>
                    <xdr:rowOff>0</xdr:rowOff>
                  </to>
                </anchor>
              </controlPr>
            </control>
          </mc:Choice>
        </mc:AlternateContent>
        <mc:AlternateContent xmlns:mc="http://schemas.openxmlformats.org/markup-compatibility/2006">
          <mc:Choice Requires="x14">
            <control shapeId="82118" r:id="rId189" name="Group Box 198">
              <controlPr defaultSize="0" print="0" autoFill="0" autoPict="0">
                <anchor moveWithCells="1">
                  <from>
                    <xdr:col>3</xdr:col>
                    <xdr:colOff>0</xdr:colOff>
                    <xdr:row>49</xdr:row>
                    <xdr:rowOff>0</xdr:rowOff>
                  </from>
                  <to>
                    <xdr:col>6</xdr:col>
                    <xdr:colOff>603250</xdr:colOff>
                    <xdr:row>50</xdr:row>
                    <xdr:rowOff>0</xdr:rowOff>
                  </to>
                </anchor>
              </controlPr>
            </control>
          </mc:Choice>
        </mc:AlternateContent>
        <mc:AlternateContent xmlns:mc="http://schemas.openxmlformats.org/markup-compatibility/2006">
          <mc:Choice Requires="x14">
            <control shapeId="82119" r:id="rId190" name="Group Box 199">
              <controlPr defaultSize="0" print="0" autoFill="0" autoPict="0">
                <anchor moveWithCells="1">
                  <from>
                    <xdr:col>3</xdr:col>
                    <xdr:colOff>0</xdr:colOff>
                    <xdr:row>50</xdr:row>
                    <xdr:rowOff>0</xdr:rowOff>
                  </from>
                  <to>
                    <xdr:col>6</xdr:col>
                    <xdr:colOff>603250</xdr:colOff>
                    <xdr:row>51</xdr:row>
                    <xdr:rowOff>0</xdr:rowOff>
                  </to>
                </anchor>
              </controlPr>
            </control>
          </mc:Choice>
        </mc:AlternateContent>
        <mc:AlternateContent xmlns:mc="http://schemas.openxmlformats.org/markup-compatibility/2006">
          <mc:Choice Requires="x14">
            <control shapeId="82120" r:id="rId191" name="Group Box 200">
              <controlPr defaultSize="0" print="0" autoFill="0" autoPict="0">
                <anchor moveWithCells="1">
                  <from>
                    <xdr:col>3</xdr:col>
                    <xdr:colOff>0</xdr:colOff>
                    <xdr:row>51</xdr:row>
                    <xdr:rowOff>0</xdr:rowOff>
                  </from>
                  <to>
                    <xdr:col>6</xdr:col>
                    <xdr:colOff>603250</xdr:colOff>
                    <xdr:row>52</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zoomScaleNormal="100" workbookViewId="0">
      <selection activeCell="S4" sqref="S4"/>
    </sheetView>
  </sheetViews>
  <sheetFormatPr defaultColWidth="9.1796875" defaultRowHeight="12.5" x14ac:dyDescent="0.25"/>
  <cols>
    <col min="1" max="3" width="4.7265625" style="185" customWidth="1"/>
    <col min="4" max="4" width="4.7265625" style="468" customWidth="1"/>
    <col min="5" max="5" width="57" style="185" bestFit="1" customWidth="1"/>
    <col min="6" max="41" width="4.7265625" style="185" customWidth="1"/>
    <col min="42" max="16384" width="9.1796875" style="185"/>
  </cols>
  <sheetData>
    <row r="2" spans="2:47" ht="15" customHeight="1" x14ac:dyDescent="0.25">
      <c r="B2" s="1064" t="s">
        <v>279</v>
      </c>
      <c r="C2" s="1064"/>
      <c r="D2" s="1064"/>
      <c r="E2" s="1064"/>
      <c r="F2" s="488">
        <v>1</v>
      </c>
      <c r="G2" s="488">
        <v>2</v>
      </c>
      <c r="H2" s="488">
        <v>3</v>
      </c>
      <c r="I2" s="488">
        <v>4</v>
      </c>
      <c r="J2" s="488">
        <v>5</v>
      </c>
      <c r="K2" s="488">
        <v>6</v>
      </c>
      <c r="L2" s="488">
        <v>7</v>
      </c>
      <c r="M2" s="488">
        <v>8</v>
      </c>
      <c r="N2" s="488">
        <v>9</v>
      </c>
      <c r="O2" s="488">
        <v>10</v>
      </c>
      <c r="P2" s="488">
        <v>11</v>
      </c>
      <c r="Q2" s="488">
        <v>12</v>
      </c>
      <c r="R2" s="488">
        <v>13</v>
      </c>
      <c r="S2" s="488">
        <v>14</v>
      </c>
      <c r="T2" s="488">
        <v>15</v>
      </c>
      <c r="U2" s="488">
        <v>16</v>
      </c>
      <c r="V2" s="488">
        <v>17</v>
      </c>
      <c r="W2" s="488">
        <v>18</v>
      </c>
      <c r="X2" s="488">
        <v>19</v>
      </c>
      <c r="Y2" s="488">
        <v>20</v>
      </c>
      <c r="Z2" s="488">
        <v>21</v>
      </c>
      <c r="AA2" s="488">
        <v>22</v>
      </c>
      <c r="AB2" s="488">
        <v>23</v>
      </c>
      <c r="AC2" s="488">
        <v>24</v>
      </c>
      <c r="AD2" s="488">
        <v>25</v>
      </c>
      <c r="AE2" s="488">
        <v>26</v>
      </c>
      <c r="AF2" s="488">
        <v>27</v>
      </c>
      <c r="AG2" s="488">
        <v>28</v>
      </c>
      <c r="AH2" s="488">
        <v>29</v>
      </c>
      <c r="AI2" s="488">
        <v>30</v>
      </c>
      <c r="AJ2" s="488">
        <v>31</v>
      </c>
      <c r="AK2" s="488">
        <v>32</v>
      </c>
      <c r="AL2" s="488">
        <v>33</v>
      </c>
      <c r="AM2" s="488">
        <v>34</v>
      </c>
      <c r="AN2" s="488">
        <v>35</v>
      </c>
      <c r="AO2" s="488">
        <v>36</v>
      </c>
      <c r="AP2" s="469"/>
      <c r="AQ2" s="469"/>
      <c r="AR2" s="469"/>
      <c r="AS2" s="469"/>
      <c r="AT2" s="469"/>
      <c r="AU2" s="469"/>
    </row>
    <row r="3" spans="2:47" ht="132" customHeight="1" x14ac:dyDescent="0.25">
      <c r="B3" s="496"/>
      <c r="C3" s="470"/>
      <c r="D3" s="471"/>
      <c r="E3" s="472"/>
      <c r="F3" s="495" t="str">
        <f>BEGINBLAD!$C$5</f>
        <v>leerling 1</v>
      </c>
      <c r="G3" s="494" t="str">
        <f>BEGINBLAD!$C$6</f>
        <v>leerling 2</v>
      </c>
      <c r="H3" s="494" t="str">
        <f>BEGINBLAD!$C$7</f>
        <v>leerling 3</v>
      </c>
      <c r="I3" s="494" t="str">
        <f>BEGINBLAD!$C$8</f>
        <v>leerling 4</v>
      </c>
      <c r="J3" s="494" t="str">
        <f>BEGINBLAD!$C$9</f>
        <v>leerling 5</v>
      </c>
      <c r="K3" s="494" t="str">
        <f>BEGINBLAD!$C$10</f>
        <v>leerling 6</v>
      </c>
      <c r="L3" s="494" t="str">
        <f>BEGINBLAD!$C$11</f>
        <v>leerling 7</v>
      </c>
      <c r="M3" s="494" t="str">
        <f>BEGINBLAD!$C$12</f>
        <v>leerling 8</v>
      </c>
      <c r="N3" s="494" t="str">
        <f>BEGINBLAD!$C$13</f>
        <v>leerling 9</v>
      </c>
      <c r="O3" s="494" t="str">
        <f>BEGINBLAD!$C$14</f>
        <v>leerling 10</v>
      </c>
      <c r="P3" s="494" t="str">
        <f>BEGINBLAD!$C$15</f>
        <v>leerling 11</v>
      </c>
      <c r="Q3" s="494" t="str">
        <f>BEGINBLAD!$C$16</f>
        <v>leerling 12</v>
      </c>
      <c r="R3" s="494" t="str">
        <f>BEGINBLAD!$C$17</f>
        <v>leerling 13</v>
      </c>
      <c r="S3" s="494" t="str">
        <f>BEGINBLAD!$C$18</f>
        <v>leerling 14</v>
      </c>
      <c r="T3" s="494" t="str">
        <f>BEGINBLAD!$C$19</f>
        <v>leerling 15</v>
      </c>
      <c r="U3" s="494" t="str">
        <f>BEGINBLAD!$C$20</f>
        <v>leerling 16</v>
      </c>
      <c r="V3" s="494" t="str">
        <f>BEGINBLAD!$C$21</f>
        <v>leerling 17</v>
      </c>
      <c r="W3" s="494" t="str">
        <f>BEGINBLAD!$C$22</f>
        <v>leerling 18</v>
      </c>
      <c r="X3" s="494" t="str">
        <f>BEGINBLAD!$C$23</f>
        <v>leerling 19</v>
      </c>
      <c r="Y3" s="494" t="str">
        <f>BEGINBLAD!$C$24</f>
        <v>leerling 20</v>
      </c>
      <c r="Z3" s="494" t="str">
        <f>BEGINBLAD!$C$25</f>
        <v>leerling 21</v>
      </c>
      <c r="AA3" s="494" t="str">
        <f>BEGINBLAD!$C$26</f>
        <v>leerling 22</v>
      </c>
      <c r="AB3" s="494" t="str">
        <f>BEGINBLAD!$C$27</f>
        <v>leerling 23</v>
      </c>
      <c r="AC3" s="494" t="str">
        <f>BEGINBLAD!$C$28</f>
        <v>leerling 24</v>
      </c>
      <c r="AD3" s="494" t="str">
        <f>BEGINBLAD!$C$29</f>
        <v>leerling 25</v>
      </c>
      <c r="AE3" s="494" t="str">
        <f>BEGINBLAD!$C$30</f>
        <v>leerling 26</v>
      </c>
      <c r="AF3" s="494">
        <f>BEGINBLAD!$C$31</f>
        <v>0</v>
      </c>
      <c r="AG3" s="494">
        <f>BEGINBLAD!$C$32</f>
        <v>0</v>
      </c>
      <c r="AH3" s="494">
        <f>BEGINBLAD!$C$33</f>
        <v>0</v>
      </c>
      <c r="AI3" s="494">
        <f>BEGINBLAD!$C$34</f>
        <v>0</v>
      </c>
      <c r="AJ3" s="494">
        <f>BEGINBLAD!$C$35</f>
        <v>0</v>
      </c>
      <c r="AK3" s="494">
        <f>BEGINBLAD!$C$36</f>
        <v>0</v>
      </c>
      <c r="AL3" s="494">
        <f>BEGINBLAD!$C$37</f>
        <v>0</v>
      </c>
      <c r="AM3" s="494">
        <f>BEGINBLAD!$C$38</f>
        <v>0</v>
      </c>
      <c r="AN3" s="494">
        <f>BEGINBLAD!$C$39</f>
        <v>0</v>
      </c>
      <c r="AO3" s="494">
        <f>BEGINBLAD!$C$40</f>
        <v>0</v>
      </c>
    </row>
    <row r="4" spans="2:47" ht="25" customHeight="1" x14ac:dyDescent="0.25">
      <c r="B4" s="1065" t="s">
        <v>280</v>
      </c>
      <c r="C4" s="1066"/>
      <c r="D4" s="1066"/>
      <c r="E4" s="1066"/>
      <c r="F4" s="473">
        <v>2</v>
      </c>
      <c r="G4" s="473">
        <v>3</v>
      </c>
      <c r="H4" s="473">
        <v>4</v>
      </c>
      <c r="I4" s="473">
        <v>4</v>
      </c>
      <c r="J4" s="473">
        <v>4</v>
      </c>
      <c r="K4" s="473">
        <v>2</v>
      </c>
      <c r="L4" s="473">
        <v>3</v>
      </c>
      <c r="M4" s="473">
        <v>5</v>
      </c>
      <c r="N4" s="473">
        <v>3</v>
      </c>
      <c r="O4" s="473">
        <v>3</v>
      </c>
      <c r="P4" s="473">
        <v>3</v>
      </c>
      <c r="Q4" s="473">
        <v>2</v>
      </c>
      <c r="R4" s="473">
        <v>5</v>
      </c>
      <c r="S4" s="473">
        <v>3</v>
      </c>
      <c r="T4" s="473">
        <v>4</v>
      </c>
      <c r="U4" s="473">
        <v>4</v>
      </c>
      <c r="V4" s="473">
        <v>3</v>
      </c>
      <c r="W4" s="473">
        <v>3</v>
      </c>
      <c r="X4" s="473">
        <v>3</v>
      </c>
      <c r="Y4" s="473">
        <v>2</v>
      </c>
      <c r="Z4" s="473">
        <v>3</v>
      </c>
      <c r="AA4" s="473">
        <v>5</v>
      </c>
      <c r="AB4" s="473">
        <v>4</v>
      </c>
      <c r="AC4" s="473">
        <v>3</v>
      </c>
      <c r="AD4" s="473">
        <v>5</v>
      </c>
      <c r="AE4" s="473"/>
      <c r="AF4" s="473"/>
      <c r="AG4" s="473"/>
      <c r="AH4" s="473"/>
      <c r="AI4" s="473"/>
      <c r="AJ4" s="473"/>
      <c r="AK4" s="473"/>
      <c r="AL4" s="473"/>
      <c r="AM4" s="473"/>
      <c r="AN4" s="473"/>
      <c r="AO4" s="473"/>
    </row>
    <row r="5" spans="2:47" s="474" customFormat="1" ht="60" customHeight="1" x14ac:dyDescent="0.25">
      <c r="B5" s="1067"/>
      <c r="C5" s="1067"/>
      <c r="D5" s="1067"/>
      <c r="E5" s="1067"/>
      <c r="F5" s="487" t="str">
        <f>IF(F4=0,"",IF(F4=1,"zwak",IF(F4=2,"beneden gemiddeld",IF(F4=3,"gemiddeld",IF(F4=4,"boven gemiddeld",IF(F4=5,"goed"))))))</f>
        <v>beneden gemiddeld</v>
      </c>
      <c r="G5" s="487" t="str">
        <f t="shared" ref="G5:AO5" si="0">IF(G4=0,"",IF(G4=1,"zwak",IF(G4=2,"beneden gemiddeld",IF(G4=3,"gemiddeld",IF(G4=4,"boven gemiddeld",IF(G4=5,"goed"))))))</f>
        <v>gemiddeld</v>
      </c>
      <c r="H5" s="487" t="str">
        <f t="shared" si="0"/>
        <v>boven gemiddeld</v>
      </c>
      <c r="I5" s="487" t="str">
        <f t="shared" si="0"/>
        <v>boven gemiddeld</v>
      </c>
      <c r="J5" s="487" t="str">
        <f t="shared" si="0"/>
        <v>boven gemiddeld</v>
      </c>
      <c r="K5" s="487" t="str">
        <f t="shared" si="0"/>
        <v>beneden gemiddeld</v>
      </c>
      <c r="L5" s="487" t="str">
        <f t="shared" si="0"/>
        <v>gemiddeld</v>
      </c>
      <c r="M5" s="487" t="str">
        <f t="shared" si="0"/>
        <v>goed</v>
      </c>
      <c r="N5" s="487" t="str">
        <f t="shared" si="0"/>
        <v>gemiddeld</v>
      </c>
      <c r="O5" s="487" t="str">
        <f t="shared" si="0"/>
        <v>gemiddeld</v>
      </c>
      <c r="P5" s="487" t="str">
        <f t="shared" si="0"/>
        <v>gemiddeld</v>
      </c>
      <c r="Q5" s="487" t="str">
        <f t="shared" si="0"/>
        <v>beneden gemiddeld</v>
      </c>
      <c r="R5" s="487" t="str">
        <f t="shared" si="0"/>
        <v>goed</v>
      </c>
      <c r="S5" s="487" t="str">
        <f t="shared" si="0"/>
        <v>gemiddeld</v>
      </c>
      <c r="T5" s="487" t="str">
        <f t="shared" si="0"/>
        <v>boven gemiddeld</v>
      </c>
      <c r="U5" s="487" t="str">
        <f t="shared" si="0"/>
        <v>boven gemiddeld</v>
      </c>
      <c r="V5" s="487" t="str">
        <f t="shared" si="0"/>
        <v>gemiddeld</v>
      </c>
      <c r="W5" s="487" t="str">
        <f t="shared" si="0"/>
        <v>gemiddeld</v>
      </c>
      <c r="X5" s="487" t="str">
        <f t="shared" si="0"/>
        <v>gemiddeld</v>
      </c>
      <c r="Y5" s="487" t="str">
        <f t="shared" si="0"/>
        <v>beneden gemiddeld</v>
      </c>
      <c r="Z5" s="487" t="str">
        <f t="shared" si="0"/>
        <v>gemiddeld</v>
      </c>
      <c r="AA5" s="487" t="str">
        <f t="shared" si="0"/>
        <v>goed</v>
      </c>
      <c r="AB5" s="487" t="str">
        <f t="shared" si="0"/>
        <v>boven gemiddeld</v>
      </c>
      <c r="AC5" s="487" t="str">
        <f t="shared" si="0"/>
        <v>gemiddeld</v>
      </c>
      <c r="AD5" s="487" t="str">
        <f t="shared" si="0"/>
        <v>goed</v>
      </c>
      <c r="AE5" s="487" t="str">
        <f t="shared" si="0"/>
        <v/>
      </c>
      <c r="AF5" s="487" t="str">
        <f t="shared" si="0"/>
        <v/>
      </c>
      <c r="AG5" s="487" t="str">
        <f t="shared" si="0"/>
        <v/>
      </c>
      <c r="AH5" s="487" t="str">
        <f t="shared" si="0"/>
        <v/>
      </c>
      <c r="AI5" s="487" t="str">
        <f t="shared" si="0"/>
        <v/>
      </c>
      <c r="AJ5" s="487" t="str">
        <f t="shared" si="0"/>
        <v/>
      </c>
      <c r="AK5" s="487" t="str">
        <f t="shared" si="0"/>
        <v/>
      </c>
      <c r="AL5" s="487" t="str">
        <f t="shared" si="0"/>
        <v/>
      </c>
      <c r="AM5" s="487" t="str">
        <f t="shared" si="0"/>
        <v/>
      </c>
      <c r="AN5" s="487" t="str">
        <f t="shared" si="0"/>
        <v/>
      </c>
      <c r="AO5" s="487" t="str">
        <f t="shared" si="0"/>
        <v/>
      </c>
    </row>
    <row r="6" spans="2:47" s="474" customFormat="1" ht="115" customHeight="1" x14ac:dyDescent="0.25">
      <c r="B6" s="498"/>
      <c r="C6" s="475"/>
      <c r="D6" s="475"/>
      <c r="E6" s="499"/>
      <c r="F6" s="497" t="str">
        <f>IF(F4="","",IF(F4&gt;3,"vraag 1-12",IF(F4&gt;0,"signalering stopt")))</f>
        <v>signalering stopt</v>
      </c>
      <c r="G6" s="487" t="str">
        <f t="shared" ref="G6:AO6" si="1">IF(G4="","",IF(G4&gt;3,"vraag 1-12",IF(G4&gt;0,"signalering stopt")))</f>
        <v>signalering stopt</v>
      </c>
      <c r="H6" s="487" t="str">
        <f t="shared" si="1"/>
        <v>vraag 1-12</v>
      </c>
      <c r="I6" s="487" t="str">
        <f t="shared" si="1"/>
        <v>vraag 1-12</v>
      </c>
      <c r="J6" s="487" t="str">
        <f t="shared" si="1"/>
        <v>vraag 1-12</v>
      </c>
      <c r="K6" s="487" t="str">
        <f t="shared" si="1"/>
        <v>signalering stopt</v>
      </c>
      <c r="L6" s="487" t="str">
        <f t="shared" si="1"/>
        <v>signalering stopt</v>
      </c>
      <c r="M6" s="487" t="str">
        <f t="shared" si="1"/>
        <v>vraag 1-12</v>
      </c>
      <c r="N6" s="487" t="str">
        <f t="shared" si="1"/>
        <v>signalering stopt</v>
      </c>
      <c r="O6" s="487" t="str">
        <f t="shared" si="1"/>
        <v>signalering stopt</v>
      </c>
      <c r="P6" s="487" t="str">
        <f t="shared" si="1"/>
        <v>signalering stopt</v>
      </c>
      <c r="Q6" s="487" t="str">
        <f t="shared" si="1"/>
        <v>signalering stopt</v>
      </c>
      <c r="R6" s="487" t="str">
        <f t="shared" si="1"/>
        <v>vraag 1-12</v>
      </c>
      <c r="S6" s="487" t="str">
        <f t="shared" si="1"/>
        <v>signalering stopt</v>
      </c>
      <c r="T6" s="487" t="str">
        <f t="shared" si="1"/>
        <v>vraag 1-12</v>
      </c>
      <c r="U6" s="487" t="str">
        <f t="shared" si="1"/>
        <v>vraag 1-12</v>
      </c>
      <c r="V6" s="487" t="str">
        <f t="shared" si="1"/>
        <v>signalering stopt</v>
      </c>
      <c r="W6" s="487" t="str">
        <f t="shared" si="1"/>
        <v>signalering stopt</v>
      </c>
      <c r="X6" s="487" t="str">
        <f t="shared" si="1"/>
        <v>signalering stopt</v>
      </c>
      <c r="Y6" s="487" t="str">
        <f t="shared" si="1"/>
        <v>signalering stopt</v>
      </c>
      <c r="Z6" s="487" t="str">
        <f t="shared" si="1"/>
        <v>signalering stopt</v>
      </c>
      <c r="AA6" s="487" t="str">
        <f t="shared" si="1"/>
        <v>vraag 1-12</v>
      </c>
      <c r="AB6" s="487" t="str">
        <f t="shared" si="1"/>
        <v>vraag 1-12</v>
      </c>
      <c r="AC6" s="487" t="str">
        <f t="shared" si="1"/>
        <v>signalering stopt</v>
      </c>
      <c r="AD6" s="487" t="str">
        <f t="shared" si="1"/>
        <v>vraag 1-12</v>
      </c>
      <c r="AE6" s="487" t="str">
        <f t="shared" si="1"/>
        <v/>
      </c>
      <c r="AF6" s="487" t="str">
        <f t="shared" si="1"/>
        <v/>
      </c>
      <c r="AG6" s="487" t="str">
        <f t="shared" si="1"/>
        <v/>
      </c>
      <c r="AH6" s="487" t="str">
        <f t="shared" si="1"/>
        <v/>
      </c>
      <c r="AI6" s="487" t="str">
        <f t="shared" si="1"/>
        <v/>
      </c>
      <c r="AJ6" s="487" t="str">
        <f t="shared" si="1"/>
        <v/>
      </c>
      <c r="AK6" s="487" t="str">
        <f t="shared" si="1"/>
        <v/>
      </c>
      <c r="AL6" s="487" t="str">
        <f t="shared" si="1"/>
        <v/>
      </c>
      <c r="AM6" s="487" t="str">
        <f t="shared" si="1"/>
        <v/>
      </c>
      <c r="AN6" s="487" t="str">
        <f t="shared" si="1"/>
        <v/>
      </c>
      <c r="AO6" s="487" t="str">
        <f t="shared" si="1"/>
        <v/>
      </c>
    </row>
    <row r="7" spans="2:47" ht="25" customHeight="1" x14ac:dyDescent="0.25">
      <c r="B7" s="1062" t="s">
        <v>281</v>
      </c>
      <c r="C7" s="1062"/>
      <c r="D7" s="1062"/>
      <c r="E7" s="1062"/>
      <c r="F7" s="1063"/>
      <c r="G7" s="1063"/>
      <c r="H7" s="1063"/>
      <c r="I7" s="1063"/>
      <c r="J7" s="1063"/>
      <c r="K7" s="1063"/>
      <c r="L7" s="1063"/>
      <c r="M7" s="1063"/>
      <c r="N7" s="1063"/>
      <c r="O7" s="1063"/>
      <c r="P7" s="1063"/>
      <c r="Q7" s="1063"/>
      <c r="R7" s="1063"/>
      <c r="S7" s="1063"/>
      <c r="T7" s="1063"/>
      <c r="U7" s="1063"/>
      <c r="V7" s="1063"/>
      <c r="W7" s="1063"/>
      <c r="X7" s="1063"/>
      <c r="Y7" s="1063"/>
      <c r="Z7" s="1063"/>
      <c r="AA7" s="1063"/>
      <c r="AB7" s="1063"/>
      <c r="AC7" s="1063"/>
      <c r="AD7" s="1063"/>
      <c r="AE7" s="1063"/>
      <c r="AF7" s="1063"/>
      <c r="AG7" s="1063"/>
      <c r="AH7" s="1063"/>
      <c r="AI7" s="1063"/>
      <c r="AJ7" s="1063"/>
      <c r="AK7" s="1063"/>
      <c r="AL7" s="1063"/>
      <c r="AM7" s="1063"/>
      <c r="AN7" s="1063"/>
      <c r="AO7" s="1063"/>
    </row>
    <row r="8" spans="2:47" ht="25" customHeight="1" x14ac:dyDescent="0.25">
      <c r="B8" s="1068" t="s">
        <v>282</v>
      </c>
      <c r="C8" s="1068"/>
      <c r="D8" s="488">
        <v>1</v>
      </c>
      <c r="E8" s="489" t="s">
        <v>283</v>
      </c>
      <c r="F8" s="478"/>
      <c r="G8" s="478"/>
      <c r="H8" s="478" t="s">
        <v>285</v>
      </c>
      <c r="I8" s="478" t="s">
        <v>285</v>
      </c>
      <c r="J8" s="478" t="s">
        <v>285</v>
      </c>
      <c r="K8" s="478"/>
      <c r="L8" s="478"/>
      <c r="M8" s="478"/>
      <c r="N8" s="478"/>
      <c r="O8" s="478"/>
      <c r="P8" s="478"/>
      <c r="Q8" s="478"/>
      <c r="R8" s="478" t="s">
        <v>285</v>
      </c>
      <c r="S8" s="478"/>
      <c r="T8" s="478" t="s">
        <v>285</v>
      </c>
      <c r="U8" s="478" t="s">
        <v>285</v>
      </c>
      <c r="V8" s="478"/>
      <c r="W8" s="478"/>
      <c r="X8" s="478"/>
      <c r="Y8" s="478"/>
      <c r="Z8" s="478"/>
      <c r="AA8" s="478"/>
      <c r="AB8" s="478" t="s">
        <v>285</v>
      </c>
      <c r="AC8" s="478"/>
      <c r="AD8" s="478"/>
      <c r="AE8" s="478"/>
      <c r="AF8" s="478"/>
      <c r="AG8" s="478"/>
      <c r="AH8" s="478"/>
      <c r="AI8" s="478"/>
      <c r="AJ8" s="478"/>
      <c r="AK8" s="478"/>
      <c r="AL8" s="478"/>
      <c r="AM8" s="478"/>
      <c r="AN8" s="478"/>
      <c r="AO8" s="478"/>
    </row>
    <row r="9" spans="2:47" ht="25" customHeight="1" x14ac:dyDescent="0.25">
      <c r="B9" s="1068"/>
      <c r="C9" s="1068"/>
      <c r="D9" s="488">
        <v>2</v>
      </c>
      <c r="E9" s="489" t="s">
        <v>284</v>
      </c>
      <c r="F9" s="478"/>
      <c r="G9" s="478"/>
      <c r="H9" s="478"/>
      <c r="I9" s="478"/>
      <c r="J9" s="478" t="s">
        <v>285</v>
      </c>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row>
    <row r="10" spans="2:47" ht="25" customHeight="1" x14ac:dyDescent="0.25">
      <c r="B10" s="1068"/>
      <c r="C10" s="1068"/>
      <c r="D10" s="488">
        <v>3</v>
      </c>
      <c r="E10" s="490" t="s">
        <v>286</v>
      </c>
      <c r="F10" s="478"/>
      <c r="G10" s="478"/>
      <c r="H10" s="478" t="s">
        <v>368</v>
      </c>
      <c r="I10" s="478" t="s">
        <v>368</v>
      </c>
      <c r="J10" s="478" t="s">
        <v>368</v>
      </c>
      <c r="K10" s="478"/>
      <c r="L10" s="478"/>
      <c r="M10" s="478"/>
      <c r="N10" s="478"/>
      <c r="O10" s="478"/>
      <c r="P10" s="478"/>
      <c r="Q10" s="478"/>
      <c r="R10" s="478" t="s">
        <v>368</v>
      </c>
      <c r="S10" s="478"/>
      <c r="T10" s="478" t="s">
        <v>368</v>
      </c>
      <c r="U10" s="478" t="s">
        <v>368</v>
      </c>
      <c r="V10" s="478"/>
      <c r="W10" s="478"/>
      <c r="X10" s="478"/>
      <c r="Y10" s="478"/>
      <c r="Z10" s="478"/>
      <c r="AA10" s="478"/>
      <c r="AB10" s="478"/>
      <c r="AC10" s="478"/>
      <c r="AD10" s="478"/>
      <c r="AE10" s="478"/>
      <c r="AF10" s="478"/>
      <c r="AG10" s="478"/>
      <c r="AH10" s="478"/>
      <c r="AI10" s="478"/>
      <c r="AJ10" s="478"/>
      <c r="AK10" s="478"/>
      <c r="AL10" s="478"/>
      <c r="AM10" s="478"/>
      <c r="AN10" s="478"/>
      <c r="AO10" s="478"/>
    </row>
    <row r="11" spans="2:47" ht="25" customHeight="1" x14ac:dyDescent="0.25">
      <c r="B11" s="1068"/>
      <c r="C11" s="1068"/>
      <c r="D11" s="488">
        <v>4</v>
      </c>
      <c r="E11" s="489" t="s">
        <v>287</v>
      </c>
      <c r="F11" s="478"/>
      <c r="G11" s="478"/>
      <c r="H11" s="478"/>
      <c r="I11" s="478"/>
      <c r="J11" s="478" t="s">
        <v>368</v>
      </c>
      <c r="K11" s="478"/>
      <c r="L11" s="478"/>
      <c r="M11" s="478"/>
      <c r="N11" s="478"/>
      <c r="O11" s="478"/>
      <c r="P11" s="478"/>
      <c r="Q11" s="478"/>
      <c r="R11" s="478" t="s">
        <v>285</v>
      </c>
      <c r="S11" s="478"/>
      <c r="T11" s="478"/>
      <c r="U11" s="478" t="s">
        <v>285</v>
      </c>
      <c r="V11" s="478"/>
      <c r="W11" s="478"/>
      <c r="X11" s="478"/>
      <c r="Y11" s="478"/>
      <c r="Z11" s="478"/>
      <c r="AA11" s="478"/>
      <c r="AB11" s="478"/>
      <c r="AC11" s="478"/>
      <c r="AD11" s="478"/>
      <c r="AE11" s="478"/>
      <c r="AF11" s="478"/>
      <c r="AG11" s="478"/>
      <c r="AH11" s="478"/>
      <c r="AI11" s="478"/>
      <c r="AJ11" s="478"/>
      <c r="AK11" s="478"/>
      <c r="AL11" s="478"/>
      <c r="AM11" s="478"/>
      <c r="AN11" s="478"/>
      <c r="AO11" s="478"/>
    </row>
    <row r="12" spans="2:47" ht="25" customHeight="1" x14ac:dyDescent="0.25">
      <c r="B12" s="1068"/>
      <c r="C12" s="1068"/>
      <c r="D12" s="488">
        <v>5</v>
      </c>
      <c r="E12" s="489" t="s">
        <v>288</v>
      </c>
      <c r="F12" s="478"/>
      <c r="G12" s="478"/>
      <c r="H12" s="478"/>
      <c r="I12" s="478"/>
      <c r="J12" s="478"/>
      <c r="K12" s="478"/>
      <c r="L12" s="478"/>
      <c r="M12" s="478"/>
      <c r="N12" s="478"/>
      <c r="O12" s="478"/>
      <c r="P12" s="478"/>
      <c r="Q12" s="478"/>
      <c r="R12" s="478" t="s">
        <v>368</v>
      </c>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row>
    <row r="13" spans="2:47" ht="25" customHeight="1" x14ac:dyDescent="0.25">
      <c r="B13" s="1068"/>
      <c r="C13" s="1068"/>
      <c r="D13" s="488">
        <v>6</v>
      </c>
      <c r="E13" s="489" t="s">
        <v>289</v>
      </c>
      <c r="F13" s="478"/>
      <c r="G13" s="478"/>
      <c r="H13" s="478" t="s">
        <v>285</v>
      </c>
      <c r="I13" s="478" t="s">
        <v>285</v>
      </c>
      <c r="J13" s="478" t="s">
        <v>285</v>
      </c>
      <c r="K13" s="478"/>
      <c r="L13" s="478"/>
      <c r="M13" s="478" t="s">
        <v>285</v>
      </c>
      <c r="N13" s="478"/>
      <c r="O13" s="478"/>
      <c r="P13" s="478"/>
      <c r="Q13" s="478"/>
      <c r="R13" s="478" t="s">
        <v>285</v>
      </c>
      <c r="S13" s="478"/>
      <c r="T13" s="478" t="s">
        <v>285</v>
      </c>
      <c r="U13" s="478" t="s">
        <v>285</v>
      </c>
      <c r="V13" s="478"/>
      <c r="W13" s="478"/>
      <c r="X13" s="478"/>
      <c r="Y13" s="478"/>
      <c r="Z13" s="478"/>
      <c r="AA13" s="478" t="s">
        <v>285</v>
      </c>
      <c r="AB13" s="478" t="s">
        <v>285</v>
      </c>
      <c r="AC13" s="478"/>
      <c r="AD13" s="478" t="s">
        <v>285</v>
      </c>
      <c r="AE13" s="478"/>
      <c r="AF13" s="478"/>
      <c r="AG13" s="478"/>
      <c r="AH13" s="478"/>
      <c r="AI13" s="478"/>
      <c r="AJ13" s="478"/>
      <c r="AK13" s="478"/>
      <c r="AL13" s="478"/>
      <c r="AM13" s="478"/>
      <c r="AN13" s="478"/>
      <c r="AO13" s="478"/>
    </row>
    <row r="14" spans="2:47" ht="25" customHeight="1" x14ac:dyDescent="0.25">
      <c r="B14" s="1068"/>
      <c r="C14" s="1068"/>
      <c r="D14" s="488">
        <v>7</v>
      </c>
      <c r="E14" s="489" t="s">
        <v>290</v>
      </c>
      <c r="F14" s="478"/>
      <c r="G14" s="478"/>
      <c r="H14" s="478" t="s">
        <v>285</v>
      </c>
      <c r="I14" s="478" t="s">
        <v>285</v>
      </c>
      <c r="J14" s="478" t="s">
        <v>368</v>
      </c>
      <c r="K14" s="478"/>
      <c r="L14" s="478"/>
      <c r="M14" s="478"/>
      <c r="N14" s="478"/>
      <c r="O14" s="478"/>
      <c r="P14" s="478"/>
      <c r="Q14" s="478"/>
      <c r="R14" s="478" t="s">
        <v>285</v>
      </c>
      <c r="S14" s="478"/>
      <c r="T14" s="478" t="s">
        <v>285</v>
      </c>
      <c r="U14" s="478"/>
      <c r="V14" s="478"/>
      <c r="W14" s="478"/>
      <c r="X14" s="478"/>
      <c r="Y14" s="478"/>
      <c r="Z14" s="478"/>
      <c r="AA14" s="478" t="s">
        <v>285</v>
      </c>
      <c r="AB14" s="478" t="s">
        <v>285</v>
      </c>
      <c r="AC14" s="478"/>
      <c r="AD14" s="478"/>
      <c r="AE14" s="478"/>
      <c r="AF14" s="478"/>
      <c r="AG14" s="478"/>
      <c r="AH14" s="478"/>
      <c r="AI14" s="478"/>
      <c r="AJ14" s="478"/>
      <c r="AK14" s="478"/>
      <c r="AL14" s="478"/>
      <c r="AM14" s="478"/>
      <c r="AN14" s="478"/>
      <c r="AO14" s="478"/>
    </row>
    <row r="15" spans="2:47" ht="25" customHeight="1" x14ac:dyDescent="0.25">
      <c r="B15" s="1068"/>
      <c r="C15" s="1068"/>
      <c r="D15" s="488">
        <v>8</v>
      </c>
      <c r="E15" s="490" t="s">
        <v>291</v>
      </c>
      <c r="F15" s="478"/>
      <c r="G15" s="478"/>
      <c r="H15" s="478"/>
      <c r="I15" s="478"/>
      <c r="J15" s="478" t="s">
        <v>368</v>
      </c>
      <c r="K15" s="478"/>
      <c r="L15" s="478"/>
      <c r="M15" s="478"/>
      <c r="N15" s="478"/>
      <c r="O15" s="478"/>
      <c r="P15" s="478"/>
      <c r="Q15" s="478"/>
      <c r="R15" s="478" t="s">
        <v>368</v>
      </c>
      <c r="S15" s="478"/>
      <c r="T15" s="478"/>
      <c r="U15" s="478" t="s">
        <v>285</v>
      </c>
      <c r="V15" s="478"/>
      <c r="W15" s="478"/>
      <c r="X15" s="478"/>
      <c r="Y15" s="478"/>
      <c r="Z15" s="478"/>
      <c r="AA15" s="478"/>
      <c r="AB15" s="478"/>
      <c r="AC15" s="478"/>
      <c r="AD15" s="478" t="s">
        <v>368</v>
      </c>
      <c r="AE15" s="478"/>
      <c r="AF15" s="478"/>
      <c r="AG15" s="478"/>
      <c r="AH15" s="478"/>
      <c r="AI15" s="478"/>
      <c r="AJ15" s="478"/>
      <c r="AK15" s="478"/>
      <c r="AL15" s="478"/>
      <c r="AM15" s="478"/>
      <c r="AN15" s="478"/>
      <c r="AO15" s="478"/>
    </row>
    <row r="16" spans="2:47" ht="25" customHeight="1" x14ac:dyDescent="0.25">
      <c r="B16" s="1068"/>
      <c r="C16" s="1068"/>
      <c r="D16" s="488">
        <v>9</v>
      </c>
      <c r="E16" s="489" t="s">
        <v>292</v>
      </c>
      <c r="F16" s="478"/>
      <c r="G16" s="478"/>
      <c r="H16" s="478" t="s">
        <v>285</v>
      </c>
      <c r="I16" s="478" t="s">
        <v>285</v>
      </c>
      <c r="J16" s="478" t="s">
        <v>285</v>
      </c>
      <c r="K16" s="478"/>
      <c r="L16" s="478"/>
      <c r="M16" s="478" t="s">
        <v>285</v>
      </c>
      <c r="N16" s="478"/>
      <c r="O16" s="478"/>
      <c r="P16" s="478"/>
      <c r="Q16" s="478"/>
      <c r="R16" s="478" t="s">
        <v>285</v>
      </c>
      <c r="S16" s="478"/>
      <c r="T16" s="478" t="s">
        <v>285</v>
      </c>
      <c r="U16" s="478" t="s">
        <v>285</v>
      </c>
      <c r="V16" s="478"/>
      <c r="W16" s="478"/>
      <c r="X16" s="478"/>
      <c r="Y16" s="478"/>
      <c r="Z16" s="478"/>
      <c r="AA16" s="478" t="s">
        <v>285</v>
      </c>
      <c r="AB16" s="478" t="s">
        <v>285</v>
      </c>
      <c r="AC16" s="478"/>
      <c r="AD16" s="478" t="s">
        <v>285</v>
      </c>
      <c r="AE16" s="478"/>
      <c r="AF16" s="478"/>
      <c r="AG16" s="478"/>
      <c r="AH16" s="478"/>
      <c r="AI16" s="478"/>
      <c r="AJ16" s="478"/>
      <c r="AK16" s="478"/>
      <c r="AL16" s="478"/>
      <c r="AM16" s="478"/>
      <c r="AN16" s="478"/>
      <c r="AO16" s="478"/>
    </row>
    <row r="17" spans="2:41" ht="25" customHeight="1" x14ac:dyDescent="0.25">
      <c r="B17" s="1068"/>
      <c r="C17" s="1068"/>
      <c r="D17" s="488">
        <v>10</v>
      </c>
      <c r="E17" s="489" t="s">
        <v>317</v>
      </c>
      <c r="F17" s="478"/>
      <c r="G17" s="478"/>
      <c r="H17" s="478"/>
      <c r="I17" s="478"/>
      <c r="J17" s="478"/>
      <c r="K17" s="478"/>
      <c r="L17" s="478"/>
      <c r="M17" s="478"/>
      <c r="N17" s="478"/>
      <c r="O17" s="478"/>
      <c r="P17" s="478"/>
      <c r="Q17" s="478"/>
      <c r="R17" s="478" t="s">
        <v>368</v>
      </c>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row>
    <row r="18" spans="2:41" ht="25" customHeight="1" x14ac:dyDescent="0.25">
      <c r="B18" s="1068"/>
      <c r="C18" s="1068"/>
      <c r="D18" s="488">
        <v>11</v>
      </c>
      <c r="E18" s="489" t="s">
        <v>318</v>
      </c>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row>
    <row r="19" spans="2:41" ht="25" customHeight="1" x14ac:dyDescent="0.25">
      <c r="B19" s="1068"/>
      <c r="C19" s="1068"/>
      <c r="D19" s="488">
        <v>12</v>
      </c>
      <c r="E19" s="489" t="s">
        <v>293</v>
      </c>
      <c r="F19" s="478"/>
      <c r="G19" s="478"/>
      <c r="H19" s="478" t="s">
        <v>285</v>
      </c>
      <c r="I19" s="478" t="s">
        <v>285</v>
      </c>
      <c r="J19" s="478" t="s">
        <v>285</v>
      </c>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row>
    <row r="20" spans="2:41" ht="25" customHeight="1" x14ac:dyDescent="0.25">
      <c r="B20" s="1068"/>
      <c r="C20" s="1068"/>
      <c r="D20" s="488"/>
      <c r="E20" s="491" t="s">
        <v>294</v>
      </c>
      <c r="F20" s="483">
        <f>COUNTA(F8:F19)</f>
        <v>0</v>
      </c>
      <c r="G20" s="483">
        <f t="shared" ref="G20:AO20" si="2">COUNTA(G8:G19)</f>
        <v>0</v>
      </c>
      <c r="H20" s="483">
        <f t="shared" si="2"/>
        <v>6</v>
      </c>
      <c r="I20" s="483">
        <f t="shared" si="2"/>
        <v>6</v>
      </c>
      <c r="J20" s="483">
        <f t="shared" si="2"/>
        <v>9</v>
      </c>
      <c r="K20" s="483">
        <f t="shared" si="2"/>
        <v>0</v>
      </c>
      <c r="L20" s="483">
        <f t="shared" si="2"/>
        <v>0</v>
      </c>
      <c r="M20" s="483">
        <f t="shared" si="2"/>
        <v>2</v>
      </c>
      <c r="N20" s="483">
        <f t="shared" si="2"/>
        <v>0</v>
      </c>
      <c r="O20" s="483">
        <f t="shared" si="2"/>
        <v>0</v>
      </c>
      <c r="P20" s="483">
        <f t="shared" si="2"/>
        <v>0</v>
      </c>
      <c r="Q20" s="483">
        <f t="shared" si="2"/>
        <v>0</v>
      </c>
      <c r="R20" s="483">
        <f t="shared" si="2"/>
        <v>9</v>
      </c>
      <c r="S20" s="483">
        <f t="shared" si="2"/>
        <v>0</v>
      </c>
      <c r="T20" s="483">
        <f t="shared" si="2"/>
        <v>5</v>
      </c>
      <c r="U20" s="483">
        <f t="shared" si="2"/>
        <v>6</v>
      </c>
      <c r="V20" s="483">
        <f t="shared" si="2"/>
        <v>0</v>
      </c>
      <c r="W20" s="483">
        <f t="shared" si="2"/>
        <v>0</v>
      </c>
      <c r="X20" s="483">
        <f t="shared" si="2"/>
        <v>0</v>
      </c>
      <c r="Y20" s="483">
        <f t="shared" si="2"/>
        <v>0</v>
      </c>
      <c r="Z20" s="483">
        <f t="shared" si="2"/>
        <v>0</v>
      </c>
      <c r="AA20" s="483">
        <f t="shared" si="2"/>
        <v>3</v>
      </c>
      <c r="AB20" s="483">
        <f t="shared" si="2"/>
        <v>4</v>
      </c>
      <c r="AC20" s="483">
        <f t="shared" si="2"/>
        <v>0</v>
      </c>
      <c r="AD20" s="483">
        <f t="shared" si="2"/>
        <v>3</v>
      </c>
      <c r="AE20" s="483">
        <f t="shared" si="2"/>
        <v>0</v>
      </c>
      <c r="AF20" s="483">
        <f t="shared" si="2"/>
        <v>0</v>
      </c>
      <c r="AG20" s="483">
        <f t="shared" si="2"/>
        <v>0</v>
      </c>
      <c r="AH20" s="483">
        <f t="shared" si="2"/>
        <v>0</v>
      </c>
      <c r="AI20" s="483">
        <f t="shared" si="2"/>
        <v>0</v>
      </c>
      <c r="AJ20" s="483">
        <f t="shared" si="2"/>
        <v>0</v>
      </c>
      <c r="AK20" s="483">
        <f t="shared" si="2"/>
        <v>0</v>
      </c>
      <c r="AL20" s="483">
        <f t="shared" si="2"/>
        <v>0</v>
      </c>
      <c r="AM20" s="483">
        <f t="shared" si="2"/>
        <v>0</v>
      </c>
      <c r="AN20" s="483">
        <f t="shared" si="2"/>
        <v>0</v>
      </c>
      <c r="AO20" s="483">
        <f t="shared" si="2"/>
        <v>0</v>
      </c>
    </row>
    <row r="21" spans="2:41" ht="40" hidden="1" customHeight="1" x14ac:dyDescent="0.25">
      <c r="B21" s="501"/>
      <c r="C21" s="501"/>
      <c r="D21" s="502"/>
      <c r="E21" s="503"/>
      <c r="F21" s="483">
        <f>COUNTIF(F8:F19,"x")</f>
        <v>0</v>
      </c>
      <c r="G21" s="483">
        <f t="shared" ref="G21:AO21" si="3">COUNTIF(G8:G19,"x")</f>
        <v>0</v>
      </c>
      <c r="H21" s="483">
        <f t="shared" si="3"/>
        <v>5</v>
      </c>
      <c r="I21" s="483">
        <f t="shared" si="3"/>
        <v>5</v>
      </c>
      <c r="J21" s="483">
        <f t="shared" si="3"/>
        <v>5</v>
      </c>
      <c r="K21" s="483">
        <f t="shared" si="3"/>
        <v>0</v>
      </c>
      <c r="L21" s="483">
        <f t="shared" si="3"/>
        <v>0</v>
      </c>
      <c r="M21" s="483">
        <f t="shared" si="3"/>
        <v>2</v>
      </c>
      <c r="N21" s="483">
        <f t="shared" si="3"/>
        <v>0</v>
      </c>
      <c r="O21" s="483">
        <f t="shared" si="3"/>
        <v>0</v>
      </c>
      <c r="P21" s="483">
        <f t="shared" si="3"/>
        <v>0</v>
      </c>
      <c r="Q21" s="483">
        <f t="shared" si="3"/>
        <v>0</v>
      </c>
      <c r="R21" s="483">
        <f t="shared" si="3"/>
        <v>5</v>
      </c>
      <c r="S21" s="483">
        <f t="shared" si="3"/>
        <v>0</v>
      </c>
      <c r="T21" s="483">
        <f t="shared" si="3"/>
        <v>4</v>
      </c>
      <c r="U21" s="483">
        <f t="shared" si="3"/>
        <v>5</v>
      </c>
      <c r="V21" s="483">
        <f t="shared" si="3"/>
        <v>0</v>
      </c>
      <c r="W21" s="483">
        <f t="shared" si="3"/>
        <v>0</v>
      </c>
      <c r="X21" s="483">
        <f t="shared" si="3"/>
        <v>0</v>
      </c>
      <c r="Y21" s="483">
        <f t="shared" si="3"/>
        <v>0</v>
      </c>
      <c r="Z21" s="483">
        <f t="shared" si="3"/>
        <v>0</v>
      </c>
      <c r="AA21" s="483">
        <f t="shared" si="3"/>
        <v>3</v>
      </c>
      <c r="AB21" s="483">
        <f t="shared" si="3"/>
        <v>4</v>
      </c>
      <c r="AC21" s="483">
        <f t="shared" si="3"/>
        <v>0</v>
      </c>
      <c r="AD21" s="483">
        <f t="shared" si="3"/>
        <v>2</v>
      </c>
      <c r="AE21" s="483">
        <f t="shared" si="3"/>
        <v>0</v>
      </c>
      <c r="AF21" s="483">
        <f t="shared" si="3"/>
        <v>0</v>
      </c>
      <c r="AG21" s="483">
        <f t="shared" si="3"/>
        <v>0</v>
      </c>
      <c r="AH21" s="483">
        <f t="shared" si="3"/>
        <v>0</v>
      </c>
      <c r="AI21" s="483">
        <f t="shared" si="3"/>
        <v>0</v>
      </c>
      <c r="AJ21" s="483">
        <f t="shared" si="3"/>
        <v>0</v>
      </c>
      <c r="AK21" s="483">
        <f t="shared" si="3"/>
        <v>0</v>
      </c>
      <c r="AL21" s="483">
        <f t="shared" si="3"/>
        <v>0</v>
      </c>
      <c r="AM21" s="483">
        <f t="shared" si="3"/>
        <v>0</v>
      </c>
      <c r="AN21" s="483">
        <f t="shared" si="3"/>
        <v>0</v>
      </c>
      <c r="AO21" s="483">
        <f t="shared" si="3"/>
        <v>0</v>
      </c>
    </row>
    <row r="22" spans="2:41" s="481" customFormat="1" ht="133.5" customHeight="1" x14ac:dyDescent="0.25">
      <c r="B22" s="504"/>
      <c r="C22" s="480"/>
      <c r="D22" s="505"/>
      <c r="E22" s="479"/>
      <c r="F22" s="500" t="str">
        <f>IF(F3=0,"",IF(F20&lt;5,"signalering stopt",IF(F20&gt;4,"vervolg de vragenlijst")))</f>
        <v>signalering stopt</v>
      </c>
      <c r="G22" s="500" t="str">
        <f t="shared" ref="G22:AO22" si="4">IF(G3=0,"",IF(G20&lt;5,"signalering stopt",IF(G20&gt;4,"vervolg de vragenlijst")))</f>
        <v>signalering stopt</v>
      </c>
      <c r="H22" s="500" t="str">
        <f t="shared" si="4"/>
        <v>vervolg de vragenlijst</v>
      </c>
      <c r="I22" s="500" t="str">
        <f t="shared" si="4"/>
        <v>vervolg de vragenlijst</v>
      </c>
      <c r="J22" s="500" t="str">
        <f t="shared" si="4"/>
        <v>vervolg de vragenlijst</v>
      </c>
      <c r="K22" s="500" t="str">
        <f t="shared" si="4"/>
        <v>signalering stopt</v>
      </c>
      <c r="L22" s="500" t="str">
        <f t="shared" si="4"/>
        <v>signalering stopt</v>
      </c>
      <c r="M22" s="500" t="str">
        <f t="shared" si="4"/>
        <v>signalering stopt</v>
      </c>
      <c r="N22" s="500" t="str">
        <f t="shared" si="4"/>
        <v>signalering stopt</v>
      </c>
      <c r="O22" s="500" t="str">
        <f t="shared" si="4"/>
        <v>signalering stopt</v>
      </c>
      <c r="P22" s="500" t="str">
        <f t="shared" si="4"/>
        <v>signalering stopt</v>
      </c>
      <c r="Q22" s="500" t="str">
        <f t="shared" si="4"/>
        <v>signalering stopt</v>
      </c>
      <c r="R22" s="500" t="str">
        <f t="shared" si="4"/>
        <v>vervolg de vragenlijst</v>
      </c>
      <c r="S22" s="500" t="str">
        <f t="shared" si="4"/>
        <v>signalering stopt</v>
      </c>
      <c r="T22" s="500" t="str">
        <f t="shared" si="4"/>
        <v>vervolg de vragenlijst</v>
      </c>
      <c r="U22" s="500" t="str">
        <f t="shared" si="4"/>
        <v>vervolg de vragenlijst</v>
      </c>
      <c r="V22" s="500" t="str">
        <f t="shared" si="4"/>
        <v>signalering stopt</v>
      </c>
      <c r="W22" s="500" t="str">
        <f t="shared" si="4"/>
        <v>signalering stopt</v>
      </c>
      <c r="X22" s="500" t="str">
        <f t="shared" si="4"/>
        <v>signalering stopt</v>
      </c>
      <c r="Y22" s="500" t="str">
        <f t="shared" si="4"/>
        <v>signalering stopt</v>
      </c>
      <c r="Z22" s="500" t="str">
        <f t="shared" si="4"/>
        <v>signalering stopt</v>
      </c>
      <c r="AA22" s="500" t="str">
        <f t="shared" si="4"/>
        <v>signalering stopt</v>
      </c>
      <c r="AB22" s="500" t="str">
        <f t="shared" si="4"/>
        <v>signalering stopt</v>
      </c>
      <c r="AC22" s="500" t="str">
        <f t="shared" si="4"/>
        <v>signalering stopt</v>
      </c>
      <c r="AD22" s="500" t="str">
        <f t="shared" si="4"/>
        <v>signalering stopt</v>
      </c>
      <c r="AE22" s="500" t="str">
        <f t="shared" si="4"/>
        <v>signalering stopt</v>
      </c>
      <c r="AF22" s="500" t="str">
        <f t="shared" si="4"/>
        <v/>
      </c>
      <c r="AG22" s="500" t="str">
        <f t="shared" si="4"/>
        <v/>
      </c>
      <c r="AH22" s="500" t="str">
        <f t="shared" si="4"/>
        <v/>
      </c>
      <c r="AI22" s="500" t="str">
        <f t="shared" si="4"/>
        <v/>
      </c>
      <c r="AJ22" s="500" t="str">
        <f t="shared" si="4"/>
        <v/>
      </c>
      <c r="AK22" s="500" t="str">
        <f t="shared" si="4"/>
        <v/>
      </c>
      <c r="AL22" s="500" t="str">
        <f t="shared" si="4"/>
        <v/>
      </c>
      <c r="AM22" s="500" t="str">
        <f t="shared" si="4"/>
        <v/>
      </c>
      <c r="AN22" s="500" t="str">
        <f t="shared" si="4"/>
        <v/>
      </c>
      <c r="AO22" s="500" t="str">
        <f t="shared" si="4"/>
        <v/>
      </c>
    </row>
    <row r="23" spans="2:41" ht="25" customHeight="1" x14ac:dyDescent="0.25">
      <c r="B23" s="1062" t="s">
        <v>295</v>
      </c>
      <c r="C23" s="1062"/>
      <c r="D23" s="1062"/>
      <c r="E23" s="1062"/>
      <c r="F23" s="1063"/>
      <c r="G23" s="1063"/>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row>
    <row r="24" spans="2:41" ht="25" customHeight="1" x14ac:dyDescent="0.25">
      <c r="B24" s="1068" t="s">
        <v>296</v>
      </c>
      <c r="C24" s="1070" t="s">
        <v>297</v>
      </c>
      <c r="D24" s="488">
        <v>1</v>
      </c>
      <c r="E24" s="490" t="s">
        <v>298</v>
      </c>
      <c r="F24" s="478"/>
      <c r="G24" s="478"/>
      <c r="H24" s="478" t="s">
        <v>285</v>
      </c>
      <c r="I24" s="478"/>
      <c r="J24" s="478" t="s">
        <v>285</v>
      </c>
      <c r="K24" s="478"/>
      <c r="L24" s="478"/>
      <c r="M24" s="478"/>
      <c r="N24" s="478"/>
      <c r="O24" s="478"/>
      <c r="P24" s="478"/>
      <c r="Q24" s="478"/>
      <c r="R24" s="478"/>
      <c r="S24" s="478"/>
      <c r="T24" s="478"/>
      <c r="U24" s="478" t="s">
        <v>285</v>
      </c>
      <c r="V24" s="478"/>
      <c r="W24" s="478"/>
      <c r="X24" s="478"/>
      <c r="Y24" s="478"/>
      <c r="Z24" s="478"/>
      <c r="AA24" s="478"/>
      <c r="AB24" s="478"/>
      <c r="AC24" s="478"/>
      <c r="AD24" s="478"/>
      <c r="AE24" s="478"/>
      <c r="AF24" s="478"/>
      <c r="AG24" s="478"/>
      <c r="AH24" s="478"/>
      <c r="AI24" s="478"/>
      <c r="AJ24" s="478"/>
      <c r="AK24" s="478"/>
      <c r="AL24" s="478"/>
      <c r="AM24" s="478"/>
      <c r="AN24" s="478" t="s">
        <v>285</v>
      </c>
      <c r="AO24" s="478" t="s">
        <v>285</v>
      </c>
    </row>
    <row r="25" spans="2:41" s="482" customFormat="1" ht="25" customHeight="1" x14ac:dyDescent="0.3">
      <c r="B25" s="1069"/>
      <c r="C25" s="1068"/>
      <c r="D25" s="488">
        <v>2</v>
      </c>
      <c r="E25" s="490" t="s">
        <v>299</v>
      </c>
      <c r="F25" s="478"/>
      <c r="G25" s="478"/>
      <c r="H25" s="478"/>
      <c r="I25" s="478"/>
      <c r="J25" s="478"/>
      <c r="K25" s="478"/>
      <c r="L25" s="478"/>
      <c r="M25" s="478"/>
      <c r="N25" s="478"/>
      <c r="O25" s="478"/>
      <c r="P25" s="478"/>
      <c r="Q25" s="478"/>
      <c r="R25" s="478" t="s">
        <v>285</v>
      </c>
      <c r="S25" s="478"/>
      <c r="T25" s="478"/>
      <c r="U25" s="478" t="s">
        <v>285</v>
      </c>
      <c r="V25" s="478"/>
      <c r="W25" s="478"/>
      <c r="X25" s="478"/>
      <c r="Y25" s="478"/>
      <c r="Z25" s="478"/>
      <c r="AA25" s="478"/>
      <c r="AB25" s="478"/>
      <c r="AC25" s="478"/>
      <c r="AD25" s="478"/>
      <c r="AE25" s="478"/>
      <c r="AF25" s="478"/>
      <c r="AG25" s="478"/>
      <c r="AH25" s="478"/>
      <c r="AI25" s="478"/>
      <c r="AJ25" s="478"/>
      <c r="AK25" s="478"/>
      <c r="AL25" s="478"/>
      <c r="AM25" s="478"/>
      <c r="AN25" s="478" t="s">
        <v>285</v>
      </c>
      <c r="AO25" s="478" t="s">
        <v>285</v>
      </c>
    </row>
    <row r="26" spans="2:41" s="482" customFormat="1" ht="25" customHeight="1" x14ac:dyDescent="0.3">
      <c r="B26" s="1069"/>
      <c r="C26" s="1068"/>
      <c r="D26" s="488">
        <v>3</v>
      </c>
      <c r="E26" s="490" t="s">
        <v>300</v>
      </c>
      <c r="F26" s="478"/>
      <c r="G26" s="478"/>
      <c r="H26" s="478"/>
      <c r="I26" s="478"/>
      <c r="J26" s="478" t="s">
        <v>285</v>
      </c>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t="s">
        <v>285</v>
      </c>
      <c r="AO26" s="478" t="s">
        <v>285</v>
      </c>
    </row>
    <row r="27" spans="2:41" s="482" customFormat="1" ht="25" customHeight="1" x14ac:dyDescent="0.3">
      <c r="B27" s="1069"/>
      <c r="C27" s="1070" t="s">
        <v>301</v>
      </c>
      <c r="D27" s="488">
        <v>4</v>
      </c>
      <c r="E27" s="489" t="s">
        <v>302</v>
      </c>
      <c r="F27" s="478"/>
      <c r="G27" s="478"/>
      <c r="H27" s="478"/>
      <c r="I27" s="478"/>
      <c r="J27" s="478" t="s">
        <v>285</v>
      </c>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t="s">
        <v>285</v>
      </c>
      <c r="AO27" s="478" t="s">
        <v>285</v>
      </c>
    </row>
    <row r="28" spans="2:41" s="482" customFormat="1" ht="25" customHeight="1" x14ac:dyDescent="0.3">
      <c r="B28" s="1069"/>
      <c r="C28" s="1068"/>
      <c r="D28" s="488">
        <v>5</v>
      </c>
      <c r="E28" s="489" t="s">
        <v>303</v>
      </c>
      <c r="F28" s="478"/>
      <c r="G28" s="478"/>
      <c r="H28" s="478"/>
      <c r="I28" s="478"/>
      <c r="J28" s="478"/>
      <c r="K28" s="478"/>
      <c r="L28" s="478"/>
      <c r="M28" s="478"/>
      <c r="N28" s="478"/>
      <c r="O28" s="478"/>
      <c r="P28" s="478"/>
      <c r="Q28" s="478"/>
      <c r="R28" s="478" t="s">
        <v>285</v>
      </c>
      <c r="S28" s="478"/>
      <c r="T28" s="478"/>
      <c r="U28" s="478" t="s">
        <v>285</v>
      </c>
      <c r="V28" s="478"/>
      <c r="W28" s="478"/>
      <c r="X28" s="478"/>
      <c r="Y28" s="478"/>
      <c r="Z28" s="478"/>
      <c r="AA28" s="478"/>
      <c r="AB28" s="478"/>
      <c r="AC28" s="478"/>
      <c r="AD28" s="478"/>
      <c r="AE28" s="478"/>
      <c r="AF28" s="478"/>
      <c r="AG28" s="478"/>
      <c r="AH28" s="478"/>
      <c r="AI28" s="478"/>
      <c r="AJ28" s="478"/>
      <c r="AK28" s="478"/>
      <c r="AL28" s="478"/>
      <c r="AM28" s="478"/>
      <c r="AN28" s="478" t="s">
        <v>285</v>
      </c>
      <c r="AO28" s="478" t="s">
        <v>285</v>
      </c>
    </row>
    <row r="29" spans="2:41" s="482" customFormat="1" ht="25" customHeight="1" x14ac:dyDescent="0.3">
      <c r="B29" s="1069"/>
      <c r="C29" s="1068"/>
      <c r="D29" s="488">
        <v>6</v>
      </c>
      <c r="E29" s="490" t="s">
        <v>304</v>
      </c>
      <c r="F29" s="478"/>
      <c r="G29" s="478"/>
      <c r="H29" s="478"/>
      <c r="I29" s="478"/>
      <c r="J29" s="478" t="s">
        <v>285</v>
      </c>
      <c r="K29" s="478"/>
      <c r="L29" s="478"/>
      <c r="M29" s="478"/>
      <c r="N29" s="478"/>
      <c r="O29" s="478"/>
      <c r="P29" s="478"/>
      <c r="Q29" s="478"/>
      <c r="R29" s="478"/>
      <c r="S29" s="478"/>
      <c r="T29" s="478"/>
      <c r="U29" s="478" t="s">
        <v>285</v>
      </c>
      <c r="V29" s="478"/>
      <c r="W29" s="478"/>
      <c r="X29" s="478"/>
      <c r="Y29" s="478"/>
      <c r="Z29" s="478"/>
      <c r="AA29" s="478"/>
      <c r="AB29" s="478"/>
      <c r="AC29" s="478"/>
      <c r="AD29" s="478"/>
      <c r="AE29" s="478"/>
      <c r="AF29" s="478"/>
      <c r="AG29" s="478"/>
      <c r="AH29" s="478"/>
      <c r="AI29" s="478"/>
      <c r="AJ29" s="478"/>
      <c r="AK29" s="478"/>
      <c r="AL29" s="478"/>
      <c r="AM29" s="478"/>
      <c r="AN29" s="478" t="s">
        <v>285</v>
      </c>
      <c r="AO29" s="478" t="s">
        <v>285</v>
      </c>
    </row>
    <row r="30" spans="2:41" s="482" customFormat="1" ht="25" customHeight="1" x14ac:dyDescent="0.3">
      <c r="B30" s="1069"/>
      <c r="C30" s="1070" t="s">
        <v>305</v>
      </c>
      <c r="D30" s="488">
        <v>7</v>
      </c>
      <c r="E30" s="490" t="s">
        <v>306</v>
      </c>
      <c r="F30" s="478"/>
      <c r="G30" s="478"/>
      <c r="H30" s="478"/>
      <c r="I30" s="478"/>
      <c r="J30" s="478"/>
      <c r="K30" s="478"/>
      <c r="L30" s="478"/>
      <c r="M30" s="478"/>
      <c r="N30" s="478"/>
      <c r="O30" s="478"/>
      <c r="P30" s="478"/>
      <c r="Q30" s="478"/>
      <c r="R30" s="478" t="s">
        <v>285</v>
      </c>
      <c r="S30" s="478"/>
      <c r="T30" s="478"/>
      <c r="U30" s="478" t="s">
        <v>285</v>
      </c>
      <c r="V30" s="478"/>
      <c r="W30" s="478"/>
      <c r="X30" s="478"/>
      <c r="Y30" s="478"/>
      <c r="Z30" s="478"/>
      <c r="AA30" s="478"/>
      <c r="AB30" s="478"/>
      <c r="AC30" s="478"/>
      <c r="AD30" s="478"/>
      <c r="AE30" s="478"/>
      <c r="AF30" s="478"/>
      <c r="AG30" s="478"/>
      <c r="AH30" s="478"/>
      <c r="AI30" s="478"/>
      <c r="AJ30" s="478"/>
      <c r="AK30" s="478"/>
      <c r="AL30" s="478"/>
      <c r="AM30" s="478"/>
      <c r="AN30" s="478" t="s">
        <v>285</v>
      </c>
      <c r="AO30" s="478" t="s">
        <v>285</v>
      </c>
    </row>
    <row r="31" spans="2:41" s="482" customFormat="1" ht="25" customHeight="1" x14ac:dyDescent="0.3">
      <c r="B31" s="1069"/>
      <c r="C31" s="1068"/>
      <c r="D31" s="488">
        <v>8</v>
      </c>
      <c r="E31" s="490" t="s">
        <v>307</v>
      </c>
      <c r="F31" s="478"/>
      <c r="G31" s="478"/>
      <c r="H31" s="478"/>
      <c r="I31" s="478"/>
      <c r="J31" s="478"/>
      <c r="K31" s="478"/>
      <c r="L31" s="478"/>
      <c r="M31" s="478"/>
      <c r="N31" s="478"/>
      <c r="O31" s="478"/>
      <c r="P31" s="478"/>
      <c r="Q31" s="478"/>
      <c r="R31" s="478"/>
      <c r="S31" s="478"/>
      <c r="T31" s="478"/>
      <c r="U31" s="478" t="s">
        <v>285</v>
      </c>
      <c r="V31" s="478"/>
      <c r="W31" s="478"/>
      <c r="X31" s="478"/>
      <c r="Y31" s="478"/>
      <c r="Z31" s="478"/>
      <c r="AA31" s="478"/>
      <c r="AB31" s="478"/>
      <c r="AC31" s="478"/>
      <c r="AD31" s="478"/>
      <c r="AE31" s="478"/>
      <c r="AF31" s="478"/>
      <c r="AG31" s="478"/>
      <c r="AH31" s="478"/>
      <c r="AI31" s="478"/>
      <c r="AJ31" s="478"/>
      <c r="AK31" s="478"/>
      <c r="AL31" s="478"/>
      <c r="AM31" s="478"/>
      <c r="AN31" s="478" t="s">
        <v>285</v>
      </c>
      <c r="AO31" s="478" t="s">
        <v>285</v>
      </c>
    </row>
    <row r="32" spans="2:41" s="482" customFormat="1" ht="25" customHeight="1" x14ac:dyDescent="0.3">
      <c r="B32" s="1069"/>
      <c r="C32" s="1068"/>
      <c r="D32" s="488">
        <v>9</v>
      </c>
      <c r="E32" s="489" t="s">
        <v>308</v>
      </c>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t="s">
        <v>285</v>
      </c>
      <c r="AO32" s="478" t="s">
        <v>285</v>
      </c>
    </row>
    <row r="33" spans="2:41" s="482" customFormat="1" ht="25" customHeight="1" x14ac:dyDescent="0.3">
      <c r="B33" s="412"/>
      <c r="C33" s="412"/>
      <c r="D33" s="488"/>
      <c r="E33" s="491" t="s">
        <v>309</v>
      </c>
      <c r="F33" s="483">
        <f t="shared" ref="F33:AO33" si="5">COUNTA(F24:F32)</f>
        <v>0</v>
      </c>
      <c r="G33" s="483">
        <f t="shared" si="5"/>
        <v>0</v>
      </c>
      <c r="H33" s="483">
        <f t="shared" si="5"/>
        <v>1</v>
      </c>
      <c r="I33" s="483">
        <f t="shared" si="5"/>
        <v>0</v>
      </c>
      <c r="J33" s="483">
        <f t="shared" si="5"/>
        <v>4</v>
      </c>
      <c r="K33" s="483">
        <f t="shared" si="5"/>
        <v>0</v>
      </c>
      <c r="L33" s="483">
        <f t="shared" si="5"/>
        <v>0</v>
      </c>
      <c r="M33" s="483">
        <f t="shared" si="5"/>
        <v>0</v>
      </c>
      <c r="N33" s="483">
        <f t="shared" si="5"/>
        <v>0</v>
      </c>
      <c r="O33" s="483">
        <f t="shared" si="5"/>
        <v>0</v>
      </c>
      <c r="P33" s="483">
        <f t="shared" si="5"/>
        <v>0</v>
      </c>
      <c r="Q33" s="483">
        <f t="shared" si="5"/>
        <v>0</v>
      </c>
      <c r="R33" s="483">
        <f t="shared" si="5"/>
        <v>3</v>
      </c>
      <c r="S33" s="483">
        <f t="shared" si="5"/>
        <v>0</v>
      </c>
      <c r="T33" s="483">
        <f t="shared" si="5"/>
        <v>0</v>
      </c>
      <c r="U33" s="483">
        <f t="shared" si="5"/>
        <v>6</v>
      </c>
      <c r="V33" s="483">
        <f t="shared" si="5"/>
        <v>0</v>
      </c>
      <c r="W33" s="483">
        <f t="shared" si="5"/>
        <v>0</v>
      </c>
      <c r="X33" s="483">
        <f t="shared" si="5"/>
        <v>0</v>
      </c>
      <c r="Y33" s="483">
        <f t="shared" si="5"/>
        <v>0</v>
      </c>
      <c r="Z33" s="483">
        <f t="shared" si="5"/>
        <v>0</v>
      </c>
      <c r="AA33" s="483">
        <f t="shared" si="5"/>
        <v>0</v>
      </c>
      <c r="AB33" s="483">
        <f t="shared" si="5"/>
        <v>0</v>
      </c>
      <c r="AC33" s="483">
        <f t="shared" si="5"/>
        <v>0</v>
      </c>
      <c r="AD33" s="483">
        <f t="shared" si="5"/>
        <v>0</v>
      </c>
      <c r="AE33" s="483">
        <f t="shared" si="5"/>
        <v>0</v>
      </c>
      <c r="AF33" s="483">
        <f t="shared" si="5"/>
        <v>0</v>
      </c>
      <c r="AG33" s="483">
        <f t="shared" si="5"/>
        <v>0</v>
      </c>
      <c r="AH33" s="483">
        <f t="shared" si="5"/>
        <v>0</v>
      </c>
      <c r="AI33" s="483">
        <f t="shared" si="5"/>
        <v>0</v>
      </c>
      <c r="AJ33" s="483">
        <f t="shared" si="5"/>
        <v>0</v>
      </c>
      <c r="AK33" s="483">
        <f t="shared" si="5"/>
        <v>0</v>
      </c>
      <c r="AL33" s="483">
        <f t="shared" si="5"/>
        <v>0</v>
      </c>
      <c r="AM33" s="483">
        <f t="shared" si="5"/>
        <v>0</v>
      </c>
      <c r="AN33" s="483">
        <f t="shared" si="5"/>
        <v>9</v>
      </c>
      <c r="AO33" s="483">
        <f t="shared" si="5"/>
        <v>9</v>
      </c>
    </row>
    <row r="34" spans="2:41" s="482" customFormat="1" ht="40" hidden="1" customHeight="1" x14ac:dyDescent="0.3">
      <c r="B34" s="493"/>
      <c r="C34" s="492"/>
      <c r="D34" s="488"/>
      <c r="E34" s="489" t="s">
        <v>310</v>
      </c>
      <c r="F34" s="484" t="str">
        <f>IF(F21=0,"",IF(F21&gt;6,1,IF(F21&lt;=6,0)))</f>
        <v/>
      </c>
      <c r="G34" s="484" t="str">
        <f t="shared" ref="G34:AO34" si="6">IF(G21=0,"",IF(G21&gt;6,1,IF(G21&lt;=6,0)))</f>
        <v/>
      </c>
      <c r="H34" s="484">
        <f t="shared" si="6"/>
        <v>0</v>
      </c>
      <c r="I34" s="484">
        <f t="shared" si="6"/>
        <v>0</v>
      </c>
      <c r="J34" s="484">
        <f t="shared" si="6"/>
        <v>0</v>
      </c>
      <c r="K34" s="484" t="str">
        <f t="shared" si="6"/>
        <v/>
      </c>
      <c r="L34" s="484" t="str">
        <f t="shared" si="6"/>
        <v/>
      </c>
      <c r="M34" s="484">
        <f t="shared" si="6"/>
        <v>0</v>
      </c>
      <c r="N34" s="484" t="str">
        <f t="shared" si="6"/>
        <v/>
      </c>
      <c r="O34" s="484" t="str">
        <f t="shared" si="6"/>
        <v/>
      </c>
      <c r="P34" s="484" t="str">
        <f t="shared" si="6"/>
        <v/>
      </c>
      <c r="Q34" s="484" t="str">
        <f t="shared" si="6"/>
        <v/>
      </c>
      <c r="R34" s="484">
        <f t="shared" si="6"/>
        <v>0</v>
      </c>
      <c r="S34" s="484" t="str">
        <f t="shared" si="6"/>
        <v/>
      </c>
      <c r="T34" s="484">
        <f t="shared" si="6"/>
        <v>0</v>
      </c>
      <c r="U34" s="484">
        <f t="shared" si="6"/>
        <v>0</v>
      </c>
      <c r="V34" s="484" t="str">
        <f t="shared" si="6"/>
        <v/>
      </c>
      <c r="W34" s="484" t="str">
        <f t="shared" si="6"/>
        <v/>
      </c>
      <c r="X34" s="484" t="str">
        <f t="shared" si="6"/>
        <v/>
      </c>
      <c r="Y34" s="484" t="str">
        <f t="shared" si="6"/>
        <v/>
      </c>
      <c r="Z34" s="484" t="str">
        <f t="shared" si="6"/>
        <v/>
      </c>
      <c r="AA34" s="484">
        <f t="shared" si="6"/>
        <v>0</v>
      </c>
      <c r="AB34" s="484">
        <f t="shared" si="6"/>
        <v>0</v>
      </c>
      <c r="AC34" s="484" t="str">
        <f t="shared" si="6"/>
        <v/>
      </c>
      <c r="AD34" s="484">
        <f t="shared" si="6"/>
        <v>0</v>
      </c>
      <c r="AE34" s="484" t="str">
        <f t="shared" si="6"/>
        <v/>
      </c>
      <c r="AF34" s="484" t="str">
        <f t="shared" si="6"/>
        <v/>
      </c>
      <c r="AG34" s="484" t="str">
        <f t="shared" si="6"/>
        <v/>
      </c>
      <c r="AH34" s="484" t="str">
        <f t="shared" si="6"/>
        <v/>
      </c>
      <c r="AI34" s="484" t="str">
        <f t="shared" si="6"/>
        <v/>
      </c>
      <c r="AJ34" s="484" t="str">
        <f t="shared" si="6"/>
        <v/>
      </c>
      <c r="AK34" s="484" t="str">
        <f t="shared" si="6"/>
        <v/>
      </c>
      <c r="AL34" s="484" t="str">
        <f t="shared" si="6"/>
        <v/>
      </c>
      <c r="AM34" s="484" t="str">
        <f t="shared" si="6"/>
        <v/>
      </c>
      <c r="AN34" s="484" t="str">
        <f t="shared" si="6"/>
        <v/>
      </c>
      <c r="AO34" s="484" t="str">
        <f t="shared" si="6"/>
        <v/>
      </c>
    </row>
    <row r="35" spans="2:41" s="482" customFormat="1" ht="40" hidden="1" customHeight="1" x14ac:dyDescent="0.3">
      <c r="B35" s="493"/>
      <c r="C35" s="492"/>
      <c r="D35" s="488"/>
      <c r="E35" s="489" t="s">
        <v>311</v>
      </c>
      <c r="F35" s="484" t="str">
        <f>IF(F21=0,"",IF(F33=0,1,IF(F33&gt;0,0)))</f>
        <v/>
      </c>
      <c r="G35" s="484" t="str">
        <f t="shared" ref="G35:AO35" si="7">IF(G21=0,"",IF(G33=0,1,IF(G33&gt;0,0)))</f>
        <v/>
      </c>
      <c r="H35" s="484">
        <f t="shared" si="7"/>
        <v>0</v>
      </c>
      <c r="I35" s="484">
        <f t="shared" si="7"/>
        <v>1</v>
      </c>
      <c r="J35" s="484">
        <f t="shared" si="7"/>
        <v>0</v>
      </c>
      <c r="K35" s="484" t="str">
        <f t="shared" si="7"/>
        <v/>
      </c>
      <c r="L35" s="484" t="str">
        <f t="shared" si="7"/>
        <v/>
      </c>
      <c r="M35" s="484">
        <f t="shared" si="7"/>
        <v>1</v>
      </c>
      <c r="N35" s="484" t="str">
        <f t="shared" si="7"/>
        <v/>
      </c>
      <c r="O35" s="484" t="str">
        <f t="shared" si="7"/>
        <v/>
      </c>
      <c r="P35" s="484" t="str">
        <f t="shared" si="7"/>
        <v/>
      </c>
      <c r="Q35" s="484" t="str">
        <f t="shared" si="7"/>
        <v/>
      </c>
      <c r="R35" s="484">
        <f t="shared" si="7"/>
        <v>0</v>
      </c>
      <c r="S35" s="484" t="str">
        <f t="shared" si="7"/>
        <v/>
      </c>
      <c r="T35" s="484">
        <f t="shared" si="7"/>
        <v>1</v>
      </c>
      <c r="U35" s="484">
        <f t="shared" si="7"/>
        <v>0</v>
      </c>
      <c r="V35" s="484" t="str">
        <f t="shared" si="7"/>
        <v/>
      </c>
      <c r="W35" s="484" t="str">
        <f t="shared" si="7"/>
        <v/>
      </c>
      <c r="X35" s="484" t="str">
        <f t="shared" si="7"/>
        <v/>
      </c>
      <c r="Y35" s="484" t="str">
        <f t="shared" si="7"/>
        <v/>
      </c>
      <c r="Z35" s="484" t="str">
        <f t="shared" si="7"/>
        <v/>
      </c>
      <c r="AA35" s="484">
        <f t="shared" si="7"/>
        <v>1</v>
      </c>
      <c r="AB35" s="484">
        <f t="shared" si="7"/>
        <v>1</v>
      </c>
      <c r="AC35" s="484" t="str">
        <f t="shared" si="7"/>
        <v/>
      </c>
      <c r="AD35" s="484">
        <f t="shared" si="7"/>
        <v>1</v>
      </c>
      <c r="AE35" s="484" t="str">
        <f t="shared" si="7"/>
        <v/>
      </c>
      <c r="AF35" s="484" t="str">
        <f t="shared" si="7"/>
        <v/>
      </c>
      <c r="AG35" s="484" t="str">
        <f t="shared" si="7"/>
        <v/>
      </c>
      <c r="AH35" s="484" t="str">
        <f t="shared" si="7"/>
        <v/>
      </c>
      <c r="AI35" s="484" t="str">
        <f t="shared" si="7"/>
        <v/>
      </c>
      <c r="AJ35" s="484" t="str">
        <f t="shared" si="7"/>
        <v/>
      </c>
      <c r="AK35" s="484" t="str">
        <f t="shared" si="7"/>
        <v/>
      </c>
      <c r="AL35" s="484" t="str">
        <f t="shared" si="7"/>
        <v/>
      </c>
      <c r="AM35" s="484" t="str">
        <f t="shared" si="7"/>
        <v/>
      </c>
      <c r="AN35" s="484" t="str">
        <f t="shared" si="7"/>
        <v/>
      </c>
      <c r="AO35" s="484" t="str">
        <f t="shared" si="7"/>
        <v/>
      </c>
    </row>
    <row r="36" spans="2:41" s="482" customFormat="1" ht="40" hidden="1" customHeight="1" x14ac:dyDescent="0.3">
      <c r="B36" s="507"/>
      <c r="C36" s="501"/>
      <c r="D36" s="502"/>
      <c r="E36" s="508" t="s">
        <v>0</v>
      </c>
      <c r="F36" s="484">
        <f>IF(F33&gt;=0,SUM(F34:F35))</f>
        <v>0</v>
      </c>
      <c r="G36" s="484">
        <f t="shared" ref="G36:AO36" si="8">IF(G33&gt;=0,SUM(G34:G35))</f>
        <v>0</v>
      </c>
      <c r="H36" s="484">
        <f t="shared" si="8"/>
        <v>0</v>
      </c>
      <c r="I36" s="484">
        <f t="shared" si="8"/>
        <v>1</v>
      </c>
      <c r="J36" s="484">
        <f t="shared" si="8"/>
        <v>0</v>
      </c>
      <c r="K36" s="484">
        <f t="shared" si="8"/>
        <v>0</v>
      </c>
      <c r="L36" s="484">
        <f t="shared" si="8"/>
        <v>0</v>
      </c>
      <c r="M36" s="484">
        <f t="shared" si="8"/>
        <v>1</v>
      </c>
      <c r="N36" s="484">
        <f t="shared" si="8"/>
        <v>0</v>
      </c>
      <c r="O36" s="484">
        <f t="shared" si="8"/>
        <v>0</v>
      </c>
      <c r="P36" s="484">
        <f t="shared" si="8"/>
        <v>0</v>
      </c>
      <c r="Q36" s="484">
        <f t="shared" si="8"/>
        <v>0</v>
      </c>
      <c r="R36" s="484">
        <f t="shared" si="8"/>
        <v>0</v>
      </c>
      <c r="S36" s="484">
        <f t="shared" si="8"/>
        <v>0</v>
      </c>
      <c r="T36" s="484">
        <f t="shared" si="8"/>
        <v>1</v>
      </c>
      <c r="U36" s="484">
        <f t="shared" si="8"/>
        <v>0</v>
      </c>
      <c r="V36" s="484">
        <f t="shared" si="8"/>
        <v>0</v>
      </c>
      <c r="W36" s="484">
        <f t="shared" si="8"/>
        <v>0</v>
      </c>
      <c r="X36" s="484">
        <f t="shared" si="8"/>
        <v>0</v>
      </c>
      <c r="Y36" s="484">
        <f t="shared" si="8"/>
        <v>0</v>
      </c>
      <c r="Z36" s="484">
        <f t="shared" si="8"/>
        <v>0</v>
      </c>
      <c r="AA36" s="484">
        <f t="shared" si="8"/>
        <v>1</v>
      </c>
      <c r="AB36" s="484">
        <f t="shared" si="8"/>
        <v>1</v>
      </c>
      <c r="AC36" s="484">
        <f t="shared" si="8"/>
        <v>0</v>
      </c>
      <c r="AD36" s="484">
        <f t="shared" si="8"/>
        <v>1</v>
      </c>
      <c r="AE36" s="484">
        <f t="shared" si="8"/>
        <v>0</v>
      </c>
      <c r="AF36" s="484">
        <f t="shared" si="8"/>
        <v>0</v>
      </c>
      <c r="AG36" s="484">
        <f t="shared" si="8"/>
        <v>0</v>
      </c>
      <c r="AH36" s="484">
        <f t="shared" si="8"/>
        <v>0</v>
      </c>
      <c r="AI36" s="484">
        <f t="shared" si="8"/>
        <v>0</v>
      </c>
      <c r="AJ36" s="484">
        <f t="shared" si="8"/>
        <v>0</v>
      </c>
      <c r="AK36" s="484">
        <f t="shared" si="8"/>
        <v>0</v>
      </c>
      <c r="AL36" s="484">
        <f t="shared" si="8"/>
        <v>0</v>
      </c>
      <c r="AM36" s="484">
        <f t="shared" si="8"/>
        <v>0</v>
      </c>
      <c r="AN36" s="484">
        <f t="shared" si="8"/>
        <v>0</v>
      </c>
      <c r="AO36" s="484">
        <f t="shared" si="8"/>
        <v>0</v>
      </c>
    </row>
    <row r="37" spans="2:41" ht="123.75" customHeight="1" x14ac:dyDescent="0.25">
      <c r="B37" s="496"/>
      <c r="C37" s="470"/>
      <c r="D37" s="476"/>
      <c r="E37" s="477"/>
      <c r="F37" s="506" t="str">
        <f>IF(F3=0,"",IF(F22="signalering stopt","",IF(F36&lt;2,"observatie + gesprek",IF(F36=2,"vul SiDi-PO in"))))</f>
        <v/>
      </c>
      <c r="G37" s="506" t="str">
        <f t="shared" ref="G37:AO37" si="9">IF(G3=0,"",IF(G22="signalering stopt","",IF(G36&lt;2,"observatie + gesprek",IF(G36=2,"vul SiDi-PO in"))))</f>
        <v/>
      </c>
      <c r="H37" s="506" t="str">
        <f t="shared" si="9"/>
        <v>observatie + gesprek</v>
      </c>
      <c r="I37" s="506" t="str">
        <f t="shared" si="9"/>
        <v>observatie + gesprek</v>
      </c>
      <c r="J37" s="506" t="str">
        <f t="shared" si="9"/>
        <v>observatie + gesprek</v>
      </c>
      <c r="K37" s="506" t="str">
        <f t="shared" si="9"/>
        <v/>
      </c>
      <c r="L37" s="506" t="str">
        <f t="shared" si="9"/>
        <v/>
      </c>
      <c r="M37" s="506" t="str">
        <f t="shared" si="9"/>
        <v/>
      </c>
      <c r="N37" s="506" t="str">
        <f t="shared" si="9"/>
        <v/>
      </c>
      <c r="O37" s="506" t="str">
        <f t="shared" si="9"/>
        <v/>
      </c>
      <c r="P37" s="506" t="str">
        <f t="shared" si="9"/>
        <v/>
      </c>
      <c r="Q37" s="506" t="str">
        <f t="shared" si="9"/>
        <v/>
      </c>
      <c r="R37" s="506" t="str">
        <f t="shared" si="9"/>
        <v>observatie + gesprek</v>
      </c>
      <c r="S37" s="506" t="str">
        <f t="shared" si="9"/>
        <v/>
      </c>
      <c r="T37" s="506" t="str">
        <f t="shared" si="9"/>
        <v>observatie + gesprek</v>
      </c>
      <c r="U37" s="506" t="str">
        <f t="shared" si="9"/>
        <v>observatie + gesprek</v>
      </c>
      <c r="V37" s="506" t="str">
        <f t="shared" si="9"/>
        <v/>
      </c>
      <c r="W37" s="506" t="str">
        <f t="shared" si="9"/>
        <v/>
      </c>
      <c r="X37" s="506" t="str">
        <f t="shared" si="9"/>
        <v/>
      </c>
      <c r="Y37" s="506" t="str">
        <f t="shared" si="9"/>
        <v/>
      </c>
      <c r="Z37" s="506" t="str">
        <f t="shared" si="9"/>
        <v/>
      </c>
      <c r="AA37" s="506" t="str">
        <f t="shared" si="9"/>
        <v/>
      </c>
      <c r="AB37" s="506" t="str">
        <f t="shared" si="9"/>
        <v/>
      </c>
      <c r="AC37" s="506" t="str">
        <f t="shared" si="9"/>
        <v/>
      </c>
      <c r="AD37" s="506" t="str">
        <f t="shared" si="9"/>
        <v/>
      </c>
      <c r="AE37" s="506" t="str">
        <f t="shared" si="9"/>
        <v/>
      </c>
      <c r="AF37" s="506" t="str">
        <f t="shared" si="9"/>
        <v/>
      </c>
      <c r="AG37" s="506" t="str">
        <f t="shared" si="9"/>
        <v/>
      </c>
      <c r="AH37" s="506" t="str">
        <f t="shared" si="9"/>
        <v/>
      </c>
      <c r="AI37" s="506" t="str">
        <f t="shared" si="9"/>
        <v/>
      </c>
      <c r="AJ37" s="506" t="str">
        <f t="shared" si="9"/>
        <v/>
      </c>
      <c r="AK37" s="506" t="str">
        <f t="shared" si="9"/>
        <v/>
      </c>
      <c r="AL37" s="506" t="str">
        <f t="shared" si="9"/>
        <v/>
      </c>
      <c r="AM37" s="506" t="str">
        <f t="shared" si="9"/>
        <v/>
      </c>
      <c r="AN37" s="506" t="str">
        <f t="shared" si="9"/>
        <v/>
      </c>
      <c r="AO37" s="506" t="str">
        <f t="shared" si="9"/>
        <v/>
      </c>
    </row>
    <row r="38" spans="2:41" ht="40" customHeight="1" x14ac:dyDescent="0.25">
      <c r="D38" s="485"/>
      <c r="E38" s="486"/>
    </row>
    <row r="39" spans="2:41" ht="40" customHeight="1" x14ac:dyDescent="0.25">
      <c r="D39" s="485"/>
      <c r="E39" s="486"/>
    </row>
    <row r="40" spans="2:41" ht="40" customHeight="1" x14ac:dyDescent="0.25">
      <c r="D40" s="485"/>
      <c r="E40" s="486"/>
    </row>
    <row r="41" spans="2:41" ht="40" customHeight="1" x14ac:dyDescent="0.25">
      <c r="D41" s="485"/>
      <c r="E41" s="486"/>
    </row>
    <row r="42" spans="2:41" ht="40" customHeight="1" x14ac:dyDescent="0.25">
      <c r="D42" s="485"/>
      <c r="E42" s="486"/>
    </row>
    <row r="43" spans="2:41" ht="40" customHeight="1" x14ac:dyDescent="0.25">
      <c r="D43" s="485"/>
      <c r="E43" s="486"/>
    </row>
    <row r="44" spans="2:41" ht="40" customHeight="1" x14ac:dyDescent="0.25">
      <c r="E44" s="486"/>
    </row>
    <row r="45" spans="2:41" ht="40" customHeight="1" x14ac:dyDescent="0.25">
      <c r="E45" s="486"/>
    </row>
    <row r="46" spans="2:41" ht="40" customHeight="1" x14ac:dyDescent="0.25"/>
  </sheetData>
  <sheetProtection algorithmName="SHA-512" hashValue="Nh3zsOHE2tDLJYXkoWxKY1+/lbFtDRsxrelSlN5W6CeznBc7Zh9ocOIiZ+joSZ+CdoDtYC6WjNcxx0dqGmeLDg==" saltValue="fVhMDnc/UVyvvS6/HizR5g==" spinCount="100000" sheet="1" objects="1" scenarios="1"/>
  <mergeCells count="9">
    <mergeCell ref="B23:AO23"/>
    <mergeCell ref="B2:E2"/>
    <mergeCell ref="B4:E5"/>
    <mergeCell ref="B8:C20"/>
    <mergeCell ref="B24:B32"/>
    <mergeCell ref="C24:C26"/>
    <mergeCell ref="C27:C29"/>
    <mergeCell ref="C30:C32"/>
    <mergeCell ref="B7:AO7"/>
  </mergeCells>
  <conditionalFormatting sqref="F37:AO37">
    <cfRule type="cellIs" dxfId="13" priority="5" stopIfTrue="1" operator="equal">
      <formula>"observatie + gesprek"</formula>
    </cfRule>
    <cfRule type="cellIs" dxfId="12" priority="6" stopIfTrue="1" operator="equal">
      <formula>"vul SiDi-PO in"</formula>
    </cfRule>
  </conditionalFormatting>
  <conditionalFormatting sqref="F3:AO3">
    <cfRule type="cellIs" dxfId="11" priority="7" stopIfTrue="1" operator="equal">
      <formula>0</formula>
    </cfRule>
  </conditionalFormatting>
  <conditionalFormatting sqref="F8:AO19">
    <cfRule type="cellIs" dxfId="10" priority="8" stopIfTrue="1" operator="equal">
      <formula>"x"</formula>
    </cfRule>
    <cfRule type="cellIs" dxfId="9" priority="9" stopIfTrue="1" operator="equal">
      <formula>"?"</formula>
    </cfRule>
  </conditionalFormatting>
  <conditionalFormatting sqref="F33:AO33 F20:AO21">
    <cfRule type="cellIs" dxfId="8" priority="10" stopIfTrue="1" operator="equal">
      <formula>0</formula>
    </cfRule>
    <cfRule type="cellIs" dxfId="7" priority="11" stopIfTrue="1" operator="notEqual">
      <formula>0</formula>
    </cfRule>
  </conditionalFormatting>
  <conditionalFormatting sqref="F24:AO32 F34:AO36">
    <cfRule type="cellIs" dxfId="6" priority="12" stopIfTrue="1" operator="equal">
      <formula>"x"</formula>
    </cfRule>
  </conditionalFormatting>
  <conditionalFormatting sqref="F22:AO22">
    <cfRule type="cellIs" dxfId="5" priority="14" stopIfTrue="1" operator="equal">
      <formula>"vervolg de vragenlijst"</formula>
    </cfRule>
  </conditionalFormatting>
  <conditionalFormatting sqref="F5:AO5">
    <cfRule type="cellIs" dxfId="4" priority="3" stopIfTrue="1" operator="equal">
      <formula>"signalering stopt"</formula>
    </cfRule>
    <cfRule type="cellIs" dxfId="3" priority="4" stopIfTrue="1" operator="equal">
      <formula>"vraag 1-12"</formula>
    </cfRule>
  </conditionalFormatting>
  <conditionalFormatting sqref="F6:AO6">
    <cfRule type="cellIs" dxfId="2" priority="1" operator="equal">
      <formula>"signalering stopt"</formula>
    </cfRule>
    <cfRule type="cellIs" dxfId="1" priority="2" operator="equal">
      <formula>"vraag 1-12"</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horizontalDpi="4294967293" r:id="rId1"/>
  <headerFooter alignWithMargins="0">
    <oddHeader>&amp;C&amp;"Verdana,Standaard"&amp;26Jaarlijkse signalering - groep 3-8</oddHeader>
    <oddFooter>&amp;L© Eduforce / Meesterharrie.nl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1640625" defaultRowHeight="12.5" x14ac:dyDescent="0.25"/>
  <cols>
    <col min="1" max="1" width="4.7265625" style="356" customWidth="1"/>
    <col min="2" max="2" width="45.7265625" style="356" customWidth="1"/>
    <col min="3" max="3" width="23.7265625" style="356" customWidth="1"/>
    <col min="4" max="4" width="22.7265625" style="356" customWidth="1"/>
    <col min="5" max="16384" width="4.81640625" style="356"/>
  </cols>
  <sheetData>
    <row r="3" spans="2:4" ht="17" x14ac:dyDescent="0.25">
      <c r="C3" s="357"/>
      <c r="D3" s="358"/>
    </row>
    <row r="4" spans="2:4" ht="15.5" x14ac:dyDescent="0.25">
      <c r="B4" s="359"/>
    </row>
    <row r="5" spans="2:4" ht="17" x14ac:dyDescent="0.25">
      <c r="B5" s="360" t="s">
        <v>232</v>
      </c>
      <c r="C5" s="1077"/>
      <c r="D5" s="1077"/>
    </row>
    <row r="6" spans="2:4" ht="18" x14ac:dyDescent="0.25">
      <c r="B6" s="361"/>
    </row>
    <row r="7" spans="2:4" ht="52.5" customHeight="1" x14ac:dyDescent="0.25">
      <c r="B7" s="1076" t="s">
        <v>233</v>
      </c>
      <c r="C7" s="1076"/>
      <c r="D7" s="1076"/>
    </row>
    <row r="8" spans="2:4" ht="37.5" customHeight="1" x14ac:dyDescent="0.25">
      <c r="B8" s="1076" t="s">
        <v>234</v>
      </c>
      <c r="C8" s="1076"/>
      <c r="D8" s="1076"/>
    </row>
    <row r="9" spans="2:4" ht="16.5" x14ac:dyDescent="0.25">
      <c r="B9" s="362"/>
    </row>
    <row r="10" spans="2:4" ht="88.5" customHeight="1" x14ac:dyDescent="0.25">
      <c r="B10" s="1076" t="s">
        <v>235</v>
      </c>
      <c r="C10" s="1076"/>
      <c r="D10" s="1076"/>
    </row>
    <row r="11" spans="2:4" ht="16.5" x14ac:dyDescent="0.25">
      <c r="B11" s="362"/>
    </row>
    <row r="12" spans="2:4" ht="75" customHeight="1" x14ac:dyDescent="0.25">
      <c r="B12" s="1078" t="s">
        <v>236</v>
      </c>
      <c r="C12" s="1078"/>
      <c r="D12" s="1078"/>
    </row>
    <row r="13" spans="2:4" ht="16.5" x14ac:dyDescent="0.25">
      <c r="B13" s="363"/>
    </row>
    <row r="14" spans="2:4" ht="16.5" customHeight="1" x14ac:dyDescent="0.25">
      <c r="B14" s="1076" t="s">
        <v>237</v>
      </c>
      <c r="C14" s="1076"/>
      <c r="D14" s="1076"/>
    </row>
    <row r="15" spans="2:4" ht="17" x14ac:dyDescent="0.25">
      <c r="B15" s="1074"/>
      <c r="C15" s="1074"/>
      <c r="D15" s="1074"/>
    </row>
    <row r="16" spans="2:4" ht="17" x14ac:dyDescent="0.25">
      <c r="B16" s="362" t="s">
        <v>238</v>
      </c>
      <c r="C16" s="1075"/>
      <c r="D16" s="1075"/>
    </row>
    <row r="17" spans="2:4" ht="16.5" x14ac:dyDescent="0.25">
      <c r="B17" s="362"/>
    </row>
    <row r="18" spans="2:4" ht="36" customHeight="1" x14ac:dyDescent="0.25">
      <c r="B18" s="1076" t="s">
        <v>239</v>
      </c>
      <c r="C18" s="1076"/>
      <c r="D18" s="1076"/>
    </row>
    <row r="19" spans="2:4" ht="16.5" x14ac:dyDescent="0.25">
      <c r="B19" s="362"/>
    </row>
    <row r="20" spans="2:4" ht="33.75" customHeight="1" x14ac:dyDescent="0.25">
      <c r="B20" s="1076" t="s">
        <v>240</v>
      </c>
      <c r="C20" s="1076"/>
      <c r="D20" s="1076"/>
    </row>
    <row r="21" spans="2:4" ht="34.5" customHeight="1" x14ac:dyDescent="0.25">
      <c r="B21" s="1076" t="s">
        <v>241</v>
      </c>
      <c r="C21" s="1076"/>
      <c r="D21" s="1076"/>
    </row>
    <row r="22" spans="2:4" ht="19.5" customHeight="1" x14ac:dyDescent="0.25">
      <c r="B22" s="1076" t="s">
        <v>242</v>
      </c>
      <c r="C22" s="1076"/>
      <c r="D22" s="1076"/>
    </row>
    <row r="23" spans="2:4" ht="16.5" x14ac:dyDescent="0.25">
      <c r="B23" s="362"/>
    </row>
    <row r="24" spans="2:4" ht="16.5" x14ac:dyDescent="0.25">
      <c r="B24" s="362"/>
    </row>
    <row r="25" spans="2:4" ht="16.5" x14ac:dyDescent="0.25">
      <c r="B25" s="362" t="s">
        <v>243</v>
      </c>
    </row>
    <row r="26" spans="2:4" ht="16.5" x14ac:dyDescent="0.25">
      <c r="B26" s="362" t="s">
        <v>244</v>
      </c>
    </row>
    <row r="27" spans="2:4" ht="14" x14ac:dyDescent="0.25">
      <c r="B27" s="364"/>
    </row>
    <row r="28" spans="2:4" ht="15" customHeight="1" x14ac:dyDescent="0.25">
      <c r="B28" s="1071"/>
      <c r="C28" s="1072"/>
      <c r="D28" s="1073"/>
    </row>
    <row r="29" spans="2:4" ht="15" customHeight="1" x14ac:dyDescent="0.25">
      <c r="B29" s="1071"/>
      <c r="C29" s="1072"/>
      <c r="D29" s="1073"/>
    </row>
    <row r="30" spans="2:4" ht="15" customHeight="1" x14ac:dyDescent="0.25"/>
    <row r="31" spans="2:4" ht="15" customHeight="1" x14ac:dyDescent="0.25"/>
    <row r="32" spans="2:4" ht="15" customHeight="1" x14ac:dyDescent="0.25"/>
    <row r="33" ht="15" customHeight="1" x14ac:dyDescent="0.25"/>
  </sheetData>
  <sheetProtection sheet="1" objects="1" scenarios="1"/>
  <mergeCells count="14">
    <mergeCell ref="B14:D14"/>
    <mergeCell ref="C5:D5"/>
    <mergeCell ref="B7:D7"/>
    <mergeCell ref="B8:D8"/>
    <mergeCell ref="B10:D10"/>
    <mergeCell ref="B12:D12"/>
    <mergeCell ref="B28:D28"/>
    <mergeCell ref="B29:D29"/>
    <mergeCell ref="B15:D15"/>
    <mergeCell ref="C16:D16"/>
    <mergeCell ref="B18:D18"/>
    <mergeCell ref="B20:D20"/>
    <mergeCell ref="B21:D21"/>
    <mergeCell ref="B22:D22"/>
  </mergeCells>
  <conditionalFormatting sqref="C3:D3 C16:D16 B28:D29 C5:D5 B15:D15">
    <cfRule type="cellIs" dxfId="0"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
  <sheetViews>
    <sheetView showGridLines="0" showRowColHeaders="0" zoomScaleNormal="100" workbookViewId="0"/>
  </sheetViews>
  <sheetFormatPr defaultColWidth="9.1796875" defaultRowHeight="12.5" x14ac:dyDescent="0.25"/>
  <cols>
    <col min="1" max="16384" width="9.1796875" style="190"/>
  </cols>
  <sheetData>
    <row r="2" spans="2:2" ht="20" x14ac:dyDescent="0.4">
      <c r="B2" s="189" t="s">
        <v>102</v>
      </c>
    </row>
  </sheetData>
  <sheetProtection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796875" defaultRowHeight="12.5" x14ac:dyDescent="0.25"/>
  <cols>
    <col min="1" max="16384" width="9.1796875" style="190"/>
  </cols>
  <sheetData>
    <row r="2" spans="2:2" ht="20" x14ac:dyDescent="0.4">
      <c r="B2" s="189" t="s">
        <v>224</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L12"/>
  <sheetViews>
    <sheetView showGridLines="0" showRowColHeaders="0" zoomScaleNormal="100" workbookViewId="0"/>
  </sheetViews>
  <sheetFormatPr defaultColWidth="9.1796875" defaultRowHeight="12.5" x14ac:dyDescent="0.25"/>
  <cols>
    <col min="1" max="16384" width="9.1796875" style="190"/>
  </cols>
  <sheetData>
    <row r="3" spans="2:12" ht="20" x14ac:dyDescent="0.25">
      <c r="B3" s="355" t="s">
        <v>225</v>
      </c>
    </row>
    <row r="11" spans="2:12" x14ac:dyDescent="0.25">
      <c r="L11" s="185"/>
    </row>
    <row r="12" spans="2:12" x14ac:dyDescent="0.25">
      <c r="L12" s="185"/>
    </row>
  </sheetData>
  <sheetProtection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2"/>
  <sheetViews>
    <sheetView showGridLines="0" showRowColHeaders="0" zoomScaleNormal="100" workbookViewId="0"/>
  </sheetViews>
  <sheetFormatPr defaultColWidth="9.1796875" defaultRowHeight="12.5" x14ac:dyDescent="0.25"/>
  <cols>
    <col min="1" max="16384" width="9.1796875" style="190"/>
  </cols>
  <sheetData>
    <row r="3" spans="2:12" ht="20" x14ac:dyDescent="0.25">
      <c r="B3" s="355" t="s">
        <v>278</v>
      </c>
    </row>
    <row r="11" spans="2:12" x14ac:dyDescent="0.25">
      <c r="L11" s="185"/>
    </row>
    <row r="12" spans="2:12" x14ac:dyDescent="0.25">
      <c r="L12" s="185"/>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topLeftCell="O1" zoomScaleNormal="100" workbookViewId="0"/>
  </sheetViews>
  <sheetFormatPr defaultColWidth="9.1796875" defaultRowHeight="12.5" x14ac:dyDescent="0.25"/>
  <cols>
    <col min="1" max="16384" width="9.1796875" style="190"/>
  </cols>
  <sheetData>
    <row r="2" spans="2:2" ht="20" x14ac:dyDescent="0.4">
      <c r="B2" s="189" t="s">
        <v>227</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2" ma:contentTypeDescription="Een nieuw document maken." ma:contentTypeScope="" ma:versionID="0cbdce14d4860dbdb805338799e88440">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fa2a8fe5c341b442d203fe72f3f7ee40"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949195-AA8A-41AA-BBA9-06ACEC59BF21}">
  <ds:schemaRefs>
    <ds:schemaRef ds:uri="http://schemas.microsoft.com/sharepoint/v3/contenttype/forms"/>
  </ds:schemaRefs>
</ds:datastoreItem>
</file>

<file path=customXml/itemProps2.xml><?xml version="1.0" encoding="utf-8"?>
<ds:datastoreItem xmlns:ds="http://schemas.openxmlformats.org/officeDocument/2006/customXml" ds:itemID="{483325EC-DB4D-441B-A481-C6EDA177A6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DB937B-C96C-4588-93FE-01FACEDD7115}">
  <ds:schemaRefs>
    <ds:schemaRef ds:uri="http://purl.org/dc/elements/1.1/"/>
    <ds:schemaRef ds:uri="http://purl.org/dc/term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b6647730-621b-45fb-9aac-463b4d877dcd"/>
    <ds:schemaRef ds:uri="c2ecf5db-7d4d-4dbe-bce7-39d49be64e81"/>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42</vt:i4>
      </vt:variant>
      <vt:variant>
        <vt:lpstr>Benoemde bereiken</vt:lpstr>
      </vt:variant>
      <vt:variant>
        <vt:i4>32</vt:i4>
      </vt:variant>
    </vt:vector>
  </HeadingPairs>
  <TitlesOfParts>
    <vt:vector size="74"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NIVEAU WAARDE - vorig jaar</vt:lpstr>
      <vt:lpstr>NIVEAU WAARDE - 1e toetsperiode</vt:lpstr>
      <vt:lpstr>NIVEAU WAARDE - 2e toetsperiode</vt:lpstr>
      <vt:lpstr>schoolweging</vt:lpstr>
      <vt:lpstr>Referentieniveau</vt:lpstr>
      <vt:lpstr>OPP vorige jaar</vt:lpstr>
      <vt:lpstr>OPP 1e periode</vt:lpstr>
      <vt:lpstr>OPP 2e periode</vt:lpstr>
      <vt:lpstr>ONTW.PERSPECTIEF</vt:lpstr>
      <vt:lpstr>DL - DLE</vt:lpstr>
      <vt:lpstr>OPO</vt:lpstr>
      <vt:lpstr>LIJV</vt:lpstr>
      <vt:lpstr>TOETSAFSPRAKEN EN NOTOTIES</vt:lpstr>
      <vt:lpstr>INTENSIEF - 1e periode</vt:lpstr>
      <vt:lpstr>BASISAANPAK - 1e periode</vt:lpstr>
      <vt:lpstr>VERRIJKT - 1e periode</vt:lpstr>
      <vt:lpstr>VERRIJKT - 2e periode</vt:lpstr>
      <vt:lpstr>BEGINBLAD</vt:lpstr>
      <vt:lpstr>SOCIAAL EMOTIONEEL</vt:lpstr>
      <vt:lpstr>TECHNISCH LEZEN - 1e periode</vt:lpstr>
      <vt:lpstr>BEGRIJPEND LEZEN - 1e periode</vt:lpstr>
      <vt:lpstr>BEGRIJPEND LEZEN - 2e periode</vt:lpstr>
      <vt:lpstr>SPELLEN - 2e periode</vt:lpstr>
      <vt:lpstr>REKENEN - 1e periode</vt:lpstr>
      <vt:lpstr>HOOFDREKENEN - 1e periode</vt:lpstr>
      <vt:lpstr>DIVERSITEIT</vt:lpstr>
      <vt:lpstr>SIGNALERING HB</vt:lpstr>
      <vt:lpstr>OUDERBRIEF</vt:lpstr>
      <vt:lpstr>'BASISAANPAK - 1e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'info-4'!Afdrukbereik</vt:lpstr>
      <vt:lpstr>'info-5'!Afdrukbereik</vt:lpstr>
      <vt:lpstr>'INTENSIEF - 1e periode'!Afdrukbereik</vt:lpstr>
      <vt:lpstr>LIJV!Afdrukbereik</vt:lpstr>
      <vt:lpstr>'NIVEAU WAARDE - 1e toetsperiode'!Afdrukbereik</vt:lpstr>
      <vt:lpstr>'NIVEAU WAARDE - 2e toetsperiode'!Afdrukbereik</vt:lpstr>
      <vt:lpstr>'NIVEAU WAARDE - vorig jaar'!Afdrukbereik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'SIGNALERING HB'!Afdrukbereik</vt:lpstr>
      <vt:lpstr>'SOCIAAL EMOTIONEEL'!Afdrukbereik</vt:lpstr>
      <vt:lpstr>'SPELLEN - 2e periode'!Afdrukbereik</vt:lpstr>
      <vt:lpstr>'TECHNISCH LEZEN - 1e periode'!Afdrukbereik</vt:lpstr>
      <vt:lpstr>'TOETSAFSPRAKEN EN NOTOTIES'!Afdrukbereik</vt:lpstr>
      <vt:lpstr>'VERRIJKT - 1e periode'!Afdrukbereik</vt:lpstr>
      <vt:lpstr>'VERRIJKT - 2e periode'!Afdrukbereik</vt:lpstr>
      <vt:lpstr>OUDERBRIEF!Dropdown2</vt:lpstr>
      <vt:lpstr>OUDERBRIEF!Text1</vt:lpstr>
      <vt:lpstr>OUDERBRIEF!Text2</vt:lpstr>
    </vt:vector>
  </TitlesOfParts>
  <Company>Thuis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School</dc:creator>
  <cp:lastModifiedBy>Harrie Meinen | De Kardoen</cp:lastModifiedBy>
  <cp:lastPrinted>2021-03-15T10:38:38Z</cp:lastPrinted>
  <dcterms:created xsi:type="dcterms:W3CDTF">2009-03-13T17:46:41Z</dcterms:created>
  <dcterms:modified xsi:type="dcterms:W3CDTF">2021-03-19T20:35:08Z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ies>
</file>