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floreantscholen.sharepoint.com/sites/de_kardoen_team/Gedeelde documenten/General/ZORG/Overgangsprotocol groep 2 naar groep 3/nieuw document - afblijven a.u.b/"/>
    </mc:Choice>
  </mc:AlternateContent>
  <xr:revisionPtr revIDLastSave="33" documentId="8_{2B14A3AE-26E8-4386-9D0F-182BB31149F5}" xr6:coauthVersionLast="47" xr6:coauthVersionMax="47" xr10:uidLastSave="{3902D8A6-CBC0-4601-951E-A85B937385FF}"/>
  <workbookProtection lockStructure="1"/>
  <bookViews>
    <workbookView xWindow="-110" yWindow="-110" windowWidth="19420" windowHeight="10420" tabRatio="859" activeTab="1" xr2:uid="{00000000-000D-0000-FFFF-FFFF00000000}"/>
  </bookViews>
  <sheets>
    <sheet name="Namenlijst" sheetId="8" r:id="rId1"/>
    <sheet name="Overgangsprotocol 2-3" sheetId="9" r:id="rId2"/>
    <sheet name="Leerlingprofiel" sheetId="10" r:id="rId3"/>
  </sheets>
  <externalReferences>
    <externalReference r:id="rId4"/>
  </externalReferences>
  <definedNames>
    <definedName name="_xlnm.Print_Area" localSheetId="2">Leerlingprofiel!$A$1:$G$51</definedName>
    <definedName name="_xlnm.Print_Area" localSheetId="1">'Overgangsprotocol 2-3'!$B$3:$CM$43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0" l="1"/>
  <c r="F47" i="10"/>
  <c r="F49" i="10"/>
  <c r="F45" i="10"/>
  <c r="F48" i="10"/>
  <c r="F50" i="10"/>
  <c r="F43" i="10"/>
  <c r="F42" i="10"/>
  <c r="F41" i="10"/>
  <c r="F40" i="10"/>
  <c r="F39" i="10"/>
  <c r="F37" i="10"/>
  <c r="CF29" i="9"/>
  <c r="CE29" i="9"/>
  <c r="CD29" i="9"/>
  <c r="CC29" i="9"/>
  <c r="CB29" i="9"/>
  <c r="CF28" i="9"/>
  <c r="CE28" i="9"/>
  <c r="CD28" i="9"/>
  <c r="CC28" i="9"/>
  <c r="CB28" i="9"/>
  <c r="CF27" i="9"/>
  <c r="CE27" i="9"/>
  <c r="CD27" i="9"/>
  <c r="CC27" i="9"/>
  <c r="CB27" i="9"/>
  <c r="CF26" i="9"/>
  <c r="CE26" i="9"/>
  <c r="CD26" i="9"/>
  <c r="CC26" i="9"/>
  <c r="CB26" i="9"/>
  <c r="CF25" i="9"/>
  <c r="CE25" i="9"/>
  <c r="CD25" i="9"/>
  <c r="CC25" i="9"/>
  <c r="CB25" i="9"/>
  <c r="CF24" i="9"/>
  <c r="CE24" i="9"/>
  <c r="CD24" i="9"/>
  <c r="CC24" i="9"/>
  <c r="CB24" i="9"/>
  <c r="CF23" i="9"/>
  <c r="CE23" i="9"/>
  <c r="CD23" i="9"/>
  <c r="CC23" i="9"/>
  <c r="CB23" i="9"/>
  <c r="CF22" i="9"/>
  <c r="CE22" i="9"/>
  <c r="CD22" i="9"/>
  <c r="CC22" i="9"/>
  <c r="CB22" i="9"/>
  <c r="CF21" i="9"/>
  <c r="CE21" i="9"/>
  <c r="CD21" i="9"/>
  <c r="CC21" i="9"/>
  <c r="CB21" i="9"/>
  <c r="CF20" i="9"/>
  <c r="CE20" i="9"/>
  <c r="CD20" i="9"/>
  <c r="CC20" i="9"/>
  <c r="CB20" i="9"/>
  <c r="CF19" i="9"/>
  <c r="CE19" i="9"/>
  <c r="CD19" i="9"/>
  <c r="CC19" i="9"/>
  <c r="CB19" i="9"/>
  <c r="CF18" i="9"/>
  <c r="CE18" i="9"/>
  <c r="CD18" i="9"/>
  <c r="CC18" i="9"/>
  <c r="CB18" i="9"/>
  <c r="CF17" i="9"/>
  <c r="CE17" i="9"/>
  <c r="CD17" i="9"/>
  <c r="CC17" i="9"/>
  <c r="CB17" i="9"/>
  <c r="CF16" i="9"/>
  <c r="CE16" i="9"/>
  <c r="CD16" i="9"/>
  <c r="CC16" i="9"/>
  <c r="CB16" i="9"/>
  <c r="CF15" i="9"/>
  <c r="CE15" i="9"/>
  <c r="CD15" i="9"/>
  <c r="CC15" i="9"/>
  <c r="CB15" i="9"/>
  <c r="CF14" i="9"/>
  <c r="CE14" i="9"/>
  <c r="CD14" i="9"/>
  <c r="CC14" i="9"/>
  <c r="CB14" i="9"/>
  <c r="CF13" i="9"/>
  <c r="CE13" i="9"/>
  <c r="CD13" i="9"/>
  <c r="CC13" i="9"/>
  <c r="CB13" i="9"/>
  <c r="CF12" i="9"/>
  <c r="CE12" i="9"/>
  <c r="CD12" i="9"/>
  <c r="CC12" i="9"/>
  <c r="CB12" i="9"/>
  <c r="CF11" i="9"/>
  <c r="CE11" i="9"/>
  <c r="CD11" i="9"/>
  <c r="CC11" i="9"/>
  <c r="CB11" i="9"/>
  <c r="CF10" i="9"/>
  <c r="CE10" i="9"/>
  <c r="CD10" i="9"/>
  <c r="CC10" i="9"/>
  <c r="CB10" i="9"/>
  <c r="E43" i="10" l="1"/>
  <c r="E49" i="10" s="1"/>
  <c r="E42" i="10"/>
  <c r="E41" i="10"/>
  <c r="E40" i="10"/>
  <c r="E39" i="10"/>
  <c r="E37" i="10"/>
  <c r="E48" i="10" s="1"/>
  <c r="F5" i="10"/>
  <c r="F36" i="10"/>
  <c r="E36" i="10"/>
  <c r="F35" i="10"/>
  <c r="E35" i="10"/>
  <c r="F34" i="10"/>
  <c r="E34" i="10"/>
  <c r="F33" i="10"/>
  <c r="E33" i="10"/>
  <c r="F31" i="10"/>
  <c r="E31" i="10"/>
  <c r="E47" i="10" s="1"/>
  <c r="F30" i="10"/>
  <c r="E30" i="10"/>
  <c r="F29" i="10"/>
  <c r="E29" i="10"/>
  <c r="F28" i="10"/>
  <c r="E28" i="10"/>
  <c r="F27" i="10"/>
  <c r="E27" i="10"/>
  <c r="F26" i="10"/>
  <c r="E26" i="10"/>
  <c r="F24" i="10"/>
  <c r="E24" i="10"/>
  <c r="E46" i="10" s="1"/>
  <c r="F23" i="10"/>
  <c r="E23" i="10"/>
  <c r="F22" i="10"/>
  <c r="E22" i="10"/>
  <c r="F21" i="10"/>
  <c r="E21" i="10"/>
  <c r="F20" i="10"/>
  <c r="E20" i="10"/>
  <c r="F19" i="10"/>
  <c r="E19" i="10"/>
  <c r="F18" i="10"/>
  <c r="E18" i="10"/>
  <c r="F23" i="8"/>
  <c r="F22" i="8"/>
  <c r="F21" i="8"/>
  <c r="F20" i="8"/>
  <c r="F19" i="8"/>
  <c r="F18" i="8"/>
  <c r="F17" i="8"/>
  <c r="F16" i="8"/>
  <c r="F15" i="8"/>
  <c r="F14" i="8"/>
  <c r="F13" i="8"/>
  <c r="F12" i="8"/>
  <c r="F6" i="8"/>
  <c r="F5" i="8"/>
  <c r="AI33" i="9"/>
  <c r="AI32" i="9"/>
  <c r="AI31" i="9"/>
  <c r="AI30" i="9"/>
  <c r="AG33" i="9"/>
  <c r="AG32" i="9"/>
  <c r="AG31" i="9"/>
  <c r="AG30" i="9"/>
  <c r="AG36" i="9" l="1"/>
  <c r="AI36" i="9"/>
  <c r="AI34" i="9"/>
  <c r="AI35" i="9"/>
  <c r="AG34" i="9"/>
  <c r="AG35" i="9"/>
  <c r="BZ33" i="9" l="1"/>
  <c r="BZ32" i="9"/>
  <c r="BZ31" i="9"/>
  <c r="BZ30" i="9"/>
  <c r="BX33" i="9"/>
  <c r="BX32" i="9"/>
  <c r="BX31" i="9"/>
  <c r="BX30" i="9"/>
  <c r="BV33" i="9"/>
  <c r="BV32" i="9"/>
  <c r="BV31" i="9"/>
  <c r="BV30" i="9"/>
  <c r="BT33" i="9"/>
  <c r="BT32" i="9"/>
  <c r="BT31" i="9"/>
  <c r="BT30" i="9"/>
  <c r="BR33" i="9"/>
  <c r="BR32" i="9"/>
  <c r="BR31" i="9"/>
  <c r="BR30" i="9"/>
  <c r="BP33" i="9"/>
  <c r="BP32" i="9"/>
  <c r="BP31" i="9"/>
  <c r="BP30" i="9"/>
  <c r="BM33" i="9"/>
  <c r="BM32" i="9"/>
  <c r="BM31" i="9"/>
  <c r="BM30" i="9"/>
  <c r="BK33" i="9"/>
  <c r="BK32" i="9"/>
  <c r="BK31" i="9"/>
  <c r="BK30" i="9"/>
  <c r="BI33" i="9"/>
  <c r="BI32" i="9"/>
  <c r="BI31" i="9"/>
  <c r="BI30" i="9"/>
  <c r="BG33" i="9"/>
  <c r="BG32" i="9"/>
  <c r="BG31" i="9"/>
  <c r="BG30" i="9"/>
  <c r="BE33" i="9"/>
  <c r="BE32" i="9"/>
  <c r="BE31" i="9"/>
  <c r="BE30" i="9"/>
  <c r="BC33" i="9"/>
  <c r="BC32" i="9"/>
  <c r="BC31" i="9"/>
  <c r="BC30" i="9"/>
  <c r="BA33" i="9"/>
  <c r="BA32" i="9"/>
  <c r="BA31" i="9"/>
  <c r="BA30" i="9"/>
  <c r="AY33" i="9"/>
  <c r="AY32" i="9"/>
  <c r="AY31" i="9"/>
  <c r="AY30" i="9"/>
  <c r="AW33" i="9"/>
  <c r="AW32" i="9"/>
  <c r="AW31" i="9"/>
  <c r="AW30" i="9"/>
  <c r="AU33" i="9"/>
  <c r="AU32" i="9"/>
  <c r="AU31" i="9"/>
  <c r="AU30" i="9"/>
  <c r="AS33" i="9"/>
  <c r="AS32" i="9"/>
  <c r="AS31" i="9"/>
  <c r="AS30" i="9"/>
  <c r="AQ33" i="9"/>
  <c r="AQ32" i="9"/>
  <c r="AQ31" i="9"/>
  <c r="AQ30" i="9"/>
  <c r="AO33" i="9"/>
  <c r="AO32" i="9"/>
  <c r="AO31" i="9"/>
  <c r="AO30" i="9"/>
  <c r="AM33" i="9"/>
  <c r="AM32" i="9"/>
  <c r="AM31" i="9"/>
  <c r="AM30" i="9"/>
  <c r="AK33" i="9"/>
  <c r="AK32" i="9"/>
  <c r="AK31" i="9"/>
  <c r="AK30" i="9"/>
  <c r="AE33" i="9"/>
  <c r="AE32" i="9"/>
  <c r="AE31" i="9"/>
  <c r="AE30" i="9"/>
  <c r="AC33" i="9"/>
  <c r="AC32" i="9"/>
  <c r="AC31" i="9"/>
  <c r="AC30" i="9"/>
  <c r="AA33" i="9"/>
  <c r="AA32" i="9"/>
  <c r="AA31" i="9"/>
  <c r="AA30" i="9"/>
  <c r="Y33" i="9"/>
  <c r="Y32" i="9"/>
  <c r="Y31" i="9"/>
  <c r="Y30" i="9"/>
  <c r="W33" i="9"/>
  <c r="W32" i="9"/>
  <c r="W31" i="9"/>
  <c r="W30" i="9"/>
  <c r="U33" i="9"/>
  <c r="U32" i="9"/>
  <c r="U31" i="9"/>
  <c r="U30" i="9"/>
  <c r="S33" i="9"/>
  <c r="S32" i="9"/>
  <c r="S31" i="9"/>
  <c r="S30" i="9"/>
  <c r="Q33" i="9"/>
  <c r="Q32" i="9"/>
  <c r="Q31" i="9"/>
  <c r="Q30" i="9"/>
  <c r="O33" i="9"/>
  <c r="O32" i="9"/>
  <c r="O31" i="9"/>
  <c r="O30" i="9"/>
  <c r="M33" i="9"/>
  <c r="M32" i="9"/>
  <c r="M31" i="9"/>
  <c r="M30" i="9"/>
  <c r="K33" i="9"/>
  <c r="K32" i="9"/>
  <c r="K31" i="9"/>
  <c r="K30" i="9"/>
  <c r="I33" i="9"/>
  <c r="I32" i="9"/>
  <c r="I31" i="9"/>
  <c r="I30" i="9"/>
  <c r="G31" i="9"/>
  <c r="G32" i="9"/>
  <c r="G30" i="9"/>
  <c r="F17" i="10"/>
  <c r="E17" i="10"/>
  <c r="F16" i="10"/>
  <c r="E16" i="10"/>
  <c r="F15" i="10"/>
  <c r="E15" i="10"/>
  <c r="F13" i="10"/>
  <c r="F12" i="10"/>
  <c r="F11" i="10"/>
  <c r="F10" i="10"/>
  <c r="F9" i="10"/>
  <c r="F8" i="10"/>
  <c r="F7" i="10"/>
  <c r="F6" i="10"/>
  <c r="F4" i="10"/>
  <c r="E13" i="10"/>
  <c r="E45" i="10" s="1"/>
  <c r="E12" i="10"/>
  <c r="E11" i="10"/>
  <c r="E10" i="10"/>
  <c r="E9" i="10"/>
  <c r="E8" i="10"/>
  <c r="E7" i="10"/>
  <c r="E6" i="10"/>
  <c r="E5" i="10"/>
  <c r="E4" i="10"/>
  <c r="D2" i="10"/>
  <c r="I34" i="9" l="1"/>
  <c r="AU34" i="9"/>
  <c r="BA34" i="9"/>
  <c r="AO34" i="9"/>
  <c r="BG34" i="9"/>
  <c r="BV34" i="9"/>
  <c r="AE34" i="9"/>
  <c r="AW34" i="9"/>
  <c r="AY36" i="9"/>
  <c r="K36" i="9"/>
  <c r="AK34" i="9"/>
  <c r="AY35" i="9"/>
  <c r="BR34" i="9"/>
  <c r="BX34" i="9"/>
  <c r="BE34" i="9"/>
  <c r="K34" i="9"/>
  <c r="AA34" i="9"/>
  <c r="AY34" i="9"/>
  <c r="BE35" i="9"/>
  <c r="BZ34" i="9"/>
  <c r="W34" i="9"/>
  <c r="AM35" i="9"/>
  <c r="BC34" i="9"/>
  <c r="AS34" i="9"/>
  <c r="AM34" i="9"/>
  <c r="Y34" i="9"/>
  <c r="W35" i="9"/>
  <c r="K35" i="9"/>
  <c r="AW35" i="9"/>
  <c r="BR35" i="9"/>
  <c r="BK34" i="9"/>
  <c r="BX35" i="9"/>
  <c r="BC35" i="9"/>
  <c r="BM34" i="9"/>
  <c r="BG35" i="9"/>
  <c r="BV36" i="9"/>
  <c r="BZ36" i="9"/>
  <c r="AO35" i="9"/>
  <c r="AU35" i="9"/>
  <c r="BV35" i="9"/>
  <c r="BG36" i="9"/>
  <c r="BX36" i="9"/>
  <c r="AM36" i="9"/>
  <c r="AW36" i="9"/>
  <c r="BE36" i="9"/>
  <c r="BR36" i="9"/>
  <c r="AO36" i="9"/>
  <c r="BC36" i="9"/>
  <c r="BZ35" i="9"/>
  <c r="BT35" i="9"/>
  <c r="BT36" i="9"/>
  <c r="BT34" i="9"/>
  <c r="BP35" i="9"/>
  <c r="BP36" i="9"/>
  <c r="BP34" i="9"/>
  <c r="BM35" i="9"/>
  <c r="BM36" i="9"/>
  <c r="BK35" i="9"/>
  <c r="BI35" i="9"/>
  <c r="BI34" i="9"/>
  <c r="BA35" i="9"/>
  <c r="AU36" i="9"/>
  <c r="AS36" i="9"/>
  <c r="AS35" i="9"/>
  <c r="AQ34" i="9"/>
  <c r="AQ36" i="9"/>
  <c r="AQ35" i="9"/>
  <c r="AK36" i="9"/>
  <c r="AK35" i="9"/>
  <c r="AE35" i="9"/>
  <c r="AC36" i="9"/>
  <c r="AC34" i="9"/>
  <c r="AC35" i="9"/>
  <c r="AA35" i="9"/>
  <c r="Y35" i="9"/>
  <c r="U36" i="9"/>
  <c r="U34" i="9"/>
  <c r="S35" i="9"/>
  <c r="S34" i="9"/>
  <c r="Q34" i="9"/>
  <c r="Q36" i="9"/>
  <c r="Q35" i="9"/>
  <c r="O36" i="9"/>
  <c r="O34" i="9"/>
  <c r="M36" i="9"/>
  <c r="M34" i="9"/>
  <c r="I36" i="9"/>
  <c r="I35" i="9"/>
  <c r="F12" i="9"/>
  <c r="F15" i="9"/>
  <c r="F16" i="9"/>
  <c r="F17" i="9"/>
  <c r="F18" i="9"/>
  <c r="F19" i="9"/>
  <c r="F20" i="9"/>
  <c r="F21" i="9"/>
  <c r="F24" i="9"/>
  <c r="F25" i="9"/>
  <c r="F27" i="9"/>
  <c r="F28" i="9"/>
  <c r="F11" i="9"/>
  <c r="D10" i="9"/>
  <c r="E10" i="9"/>
  <c r="F10" i="9"/>
  <c r="D11" i="9"/>
  <c r="E11" i="9"/>
  <c r="D12" i="9"/>
  <c r="E12" i="9"/>
  <c r="D13" i="9"/>
  <c r="E13" i="9"/>
  <c r="F13" i="9"/>
  <c r="D14" i="9"/>
  <c r="E14" i="9"/>
  <c r="F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D22" i="9"/>
  <c r="E22" i="9"/>
  <c r="F22" i="9"/>
  <c r="D23" i="9"/>
  <c r="E23" i="9"/>
  <c r="F23" i="9"/>
  <c r="D24" i="9"/>
  <c r="E24" i="9"/>
  <c r="D25" i="9"/>
  <c r="E25" i="9"/>
  <c r="D26" i="9"/>
  <c r="E26" i="9"/>
  <c r="F26" i="9"/>
  <c r="D27" i="9"/>
  <c r="E27" i="9"/>
  <c r="D28" i="9"/>
  <c r="E28" i="9"/>
  <c r="D29" i="9"/>
  <c r="E29" i="9"/>
  <c r="F29" i="9"/>
  <c r="G33" i="9"/>
  <c r="BI36" i="9" l="1"/>
  <c r="W36" i="9"/>
  <c r="O35" i="9"/>
  <c r="AA36" i="9"/>
  <c r="BK36" i="9"/>
  <c r="BA36" i="9"/>
  <c r="AE36" i="9"/>
  <c r="Y36" i="9"/>
  <c r="U35" i="9"/>
  <c r="S36" i="9"/>
  <c r="M35" i="9"/>
  <c r="G36" i="9"/>
  <c r="C10" i="9" l="1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G34" i="9" l="1"/>
  <c r="G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win98</author>
  </authors>
  <commentList>
    <comment ref="G9" authorId="0" shapeId="0" xr:uid="{C98269C6-1073-4082-8804-91C1097368CC}">
      <text>
        <r>
          <rPr>
            <sz val="10"/>
            <color indexed="81"/>
            <rFont val="Arial"/>
            <family val="2"/>
          </rPr>
          <t>onv.   = 1
matig = 2
goed  = 3</t>
        </r>
      </text>
    </comment>
    <comment ref="AA9" authorId="0" shapeId="0" xr:uid="{D7D5FA7B-EDFE-4CCC-A612-4339B36E3B1B}">
      <text>
        <r>
          <rPr>
            <sz val="10"/>
            <color indexed="81"/>
            <rFont val="Arial"/>
            <family val="2"/>
          </rPr>
          <t>onv.   = 1
matig = 2
goed  = 3</t>
        </r>
      </text>
    </comment>
    <comment ref="AU9" authorId="0" shapeId="0" xr:uid="{D4162F1C-9C19-4699-AE93-BA6B7238C832}">
      <text>
        <r>
          <rPr>
            <sz val="10"/>
            <color indexed="81"/>
            <rFont val="Arial"/>
            <family val="2"/>
          </rPr>
          <t>onv.   = 1
matig = 2
goed  = 3</t>
        </r>
      </text>
    </comment>
    <comment ref="BG9" authorId="0" shapeId="0" xr:uid="{76FB1B6A-EC4A-4A2D-95F6-5EBDCEEBD734}">
      <text>
        <r>
          <rPr>
            <sz val="10"/>
            <color indexed="81"/>
            <rFont val="Arial"/>
            <family val="2"/>
          </rPr>
          <t>onv.   = 1
matig = 2
goed  = 3</t>
        </r>
      </text>
    </comment>
    <comment ref="BR9" authorId="0" shapeId="0" xr:uid="{AC590E0F-6C33-40DD-83BA-7F6582C61EE7}">
      <text>
        <r>
          <rPr>
            <sz val="10"/>
            <color indexed="81"/>
            <rFont val="Arial"/>
            <family val="2"/>
          </rPr>
          <t>onv.   = 0
matig = 1
goed  = 2</t>
        </r>
      </text>
    </comment>
  </commentList>
</comments>
</file>

<file path=xl/sharedStrings.xml><?xml version="1.0" encoding="utf-8"?>
<sst xmlns="http://schemas.openxmlformats.org/spreadsheetml/2006/main" count="189" uniqueCount="118">
  <si>
    <t>Naam:</t>
  </si>
  <si>
    <t>j/m</t>
  </si>
  <si>
    <t>geboortedatum</t>
  </si>
  <si>
    <t>groep</t>
  </si>
  <si>
    <t>m</t>
  </si>
  <si>
    <t>j</t>
  </si>
  <si>
    <t>Overgangsprotocol groep 2 naar groep 3</t>
  </si>
  <si>
    <t>In het vernieuwde protocol zijn in totaal 36 observatiepunten opgenomen:</t>
  </si>
  <si>
    <t>Rekenen en wiskunde: 10 observatiepunten</t>
  </si>
  <si>
    <t>Lezen/taal/schrijven: 10 observatiepunten, waaronder het dyslexieprotocol</t>
  </si>
  <si>
    <t>Sociale en emotionele ontwikkeling: 6 observatiepunten</t>
  </si>
  <si>
    <t>Motorische ontwikkeling: 5 observatiepunten</t>
  </si>
  <si>
    <t>Spelontwikkeling: 5 observatiepunten</t>
  </si>
  <si>
    <t>In het protocol wordt gewerkt met een driepuntsschaal:</t>
  </si>
  <si>
    <t>1=onvoldoende</t>
  </si>
  <si>
    <t>2=matig</t>
  </si>
  <si>
    <t>3=voldoende</t>
  </si>
  <si>
    <t>Beslissingsblad overgang groep 2 naar groep 3</t>
  </si>
  <si>
    <t>datum:</t>
  </si>
  <si>
    <t>noteer onder het vakje 'opmerking' een aantekening  - en het vakje wordt blauw</t>
  </si>
  <si>
    <t>Rekenen/wiskunde</t>
  </si>
  <si>
    <t>Lezen/taal/schrijven</t>
  </si>
  <si>
    <t xml:space="preserve">Sociale en emotionele ontwikkeling </t>
  </si>
  <si>
    <t>Motorische ontwikkeling</t>
  </si>
  <si>
    <t>Spelontwikkeling</t>
  </si>
  <si>
    <t xml:space="preserve">  Totaal: Rekenen / wiskunde</t>
  </si>
  <si>
    <t xml:space="preserve">  Totaal: Taal/lezen/schrijven</t>
  </si>
  <si>
    <t xml:space="preserve">  Totaal: Sociale en Emotionele ontwikkeling</t>
  </si>
  <si>
    <t xml:space="preserve">  Totaal: Motorische ontwikkeling</t>
  </si>
  <si>
    <t xml:space="preserve">  Totaal: Spelontwikkeling</t>
  </si>
  <si>
    <t>opmerkingen</t>
  </si>
  <si>
    <t>Dyslexiescreening</t>
  </si>
  <si>
    <t xml:space="preserve"> Telt voorwerpen tot en met 20; synchroon en resultatief.</t>
  </si>
  <si>
    <t>opmerking</t>
  </si>
  <si>
    <t>Kan eenvoudige optel- en aftrekproblemen in betekenisvolle contextsituaties handelend oplossen tot tenminste 10.</t>
  </si>
  <si>
    <t>Kan eenvoudige splitsproblemen (handelend) oplossen tot tenminste 10 met behulp van concreet materiaal vanuit een context.</t>
  </si>
  <si>
    <t>Kent rekenbegrippen als rangtelwoorden, meer, minder, evenveel, meest, minst, samen.</t>
  </si>
  <si>
    <t>Kan getalsymbolen, telwoorden en hoeveelheden tot tenminste 10 koppelen aan elkaar.</t>
  </si>
  <si>
    <t>Kan gestructureerde en ongestructureerde hoeveelheden t/m 6 in één keer overzien, zonder te tellen.</t>
  </si>
  <si>
    <t>Kan verkort tellen van hoeveelheden tot tenminste 12 door gebruik te maken van patronen, structuren, dobbelstenen e.d.</t>
  </si>
  <si>
    <t>Benoemt tijdbegrippen in betekenisvolle, dagelijkse situaties en gebruikt deze correct: ochtend, middag, avond, gisteren, vroeg, laat; kent de functie van de klok.</t>
  </si>
  <si>
    <t>Betekenisverlening van geld: gepast betalen tot tenminste 10 euro met munten van 1 euro.</t>
  </si>
  <si>
    <t>Oordeel van de leerkracht</t>
  </si>
  <si>
    <r>
      <t xml:space="preserve">Leest en schrijft woorden als globale eenheden, zoals de </t>
    </r>
    <r>
      <rPr>
        <b/>
        <sz val="12"/>
        <color rgb="FFFF0000"/>
        <rFont val="Calibri Light"/>
        <family val="2"/>
      </rPr>
      <t>eigen naam</t>
    </r>
    <r>
      <rPr>
        <sz val="12"/>
        <rFont val="Calibri Light"/>
        <family val="2"/>
      </rPr>
      <t xml:space="preserve"> en namen van personen en dingen die voor hen belangrijk zijn.</t>
    </r>
  </si>
  <si>
    <t>Weet dat bladzijden van boven naar beneden en van links naar rechts worden gelezen.</t>
  </si>
  <si>
    <t>Weet dat woorden zijn opgebouwd uit klanken en dat letters en klanken corresponderen.</t>
  </si>
  <si>
    <t>Spreekt duidelijk en verstaanbaar</t>
  </si>
  <si>
    <t>Vertelt een verhaal chronologisch en samenhangend. Maakt gebruik van moeilijkere woorden.</t>
  </si>
  <si>
    <t>Kan &gt;14 letters benoemen.</t>
  </si>
  <si>
    <t>Kan kleuren benoemen op tempo</t>
  </si>
  <si>
    <t>Auditieve analyse: onderscheidt verschillende fonemen binnen een woord.</t>
  </si>
  <si>
    <t>Auditieve synthese: voegt klanken samen tot een woord.</t>
  </si>
  <si>
    <t>Maakt contact met anderen: stelt vragen aan andere, vertelt iets aan anderen.</t>
  </si>
  <si>
    <t>Wacht rustig enkele minuten met om hulp vragen als hij ziet dat de leerkracht in gesprek is.</t>
  </si>
  <si>
    <t>Laat volgehouden intense momenten van betrokkenheid bij activiteiten zien (± 15 minuten)</t>
  </si>
  <si>
    <t>Stelt de leerkracht gericht vragen over zijn taak; zoekt de leerkracht op als hij hulp nodig heeft.</t>
  </si>
  <si>
    <t>Houdt rekening met gevoelens en wensen van anderen en van zichzelf.</t>
  </si>
  <si>
    <t>Grove motoriek: kan hinkelen; springen, gooien, vangen, balanceren.</t>
  </si>
  <si>
    <t>Heeft een goede pengreep: ringvinger en pink van de voorkeurshand hebben steunfunctie.</t>
  </si>
  <si>
    <t xml:space="preserve">  Totaal motorische ontwikkeling</t>
  </si>
  <si>
    <t>Knipt moeilijke figuren uit en houdt hierbij de schaar goed vast.</t>
  </si>
  <si>
    <t>Schrijfhand l/r</t>
  </si>
  <si>
    <t>Speelduur is voldoende: kan tenminste 15 minuten aaneengesloten spelen met hetzelfde spel.</t>
  </si>
  <si>
    <t>Speelt gezamenlijk, interactief spel.</t>
  </si>
  <si>
    <t>Houdt zich aan de spelregels.</t>
  </si>
  <si>
    <t>Kind doet verschillende activiteiten: rollenspel, constructiespel, creatief spel etc.</t>
  </si>
  <si>
    <t>naam</t>
  </si>
  <si>
    <t>geb.datum</t>
  </si>
  <si>
    <t xml:space="preserve">groep </t>
  </si>
  <si>
    <t>score</t>
  </si>
  <si>
    <t>Madelief is heel verlegen. Zegt weinig in de kring. Met andere kinderen praat ze wel.</t>
  </si>
  <si>
    <t>Naomi is moeilijk te verstaan . Ze heeft logopedie . Ze is eigenwijs en heeft soms boze buien. Ze doet andere kinderen soms pijn.Soms doet ze niet wat de opdracht is.</t>
  </si>
  <si>
    <t>Ruben kan moeilijk met andere kinderen spelen. Hij kanniet samen delen.Hij maakt vaak negatieve opmerkingen over dingen. Hij zegt vaak niet mooi, niet leuk.</t>
  </si>
  <si>
    <t>Bastiaan kan gemeeb doen naar andere kinderen toe. Duwen, slaan,fluisteren.</t>
  </si>
  <si>
    <t>Renske kan juf heel goed helpen. Wil alles graag goed doen. Kan soms wel eigenwijs zijn.</t>
  </si>
  <si>
    <t>Manouk is rustig en behulpzaam.</t>
  </si>
  <si>
    <t>Guus is erg hebberig. Hij kan onbedaarlijk huilen om iets kleins.</t>
  </si>
  <si>
    <t>Loiza is wat traag van begrip. Ze is wat dromerig in de kring.We vragen ons af hoe het zal gaan als Loiza naar groep 3 gaat.</t>
  </si>
  <si>
    <t xml:space="preserve">onvoldoende </t>
  </si>
  <si>
    <t>matig</t>
  </si>
  <si>
    <t>voldoende</t>
  </si>
  <si>
    <t>totaal aantal leerlingen</t>
  </si>
  <si>
    <t>% onvoldoende</t>
  </si>
  <si>
    <t>% matig</t>
  </si>
  <si>
    <t>% voldoende</t>
  </si>
  <si>
    <t xml:space="preserve">   onvoldoende = niet gezien</t>
  </si>
  <si>
    <t>80% score = voldoende voorwaarden voor groep 3</t>
  </si>
  <si>
    <t xml:space="preserve">   matig = 1x gezien</t>
  </si>
  <si>
    <t>60% score = geen optimale voorwaarden voor groep 3 = oudergesprek</t>
  </si>
  <si>
    <t xml:space="preserve">   voldoende = vaker gezien</t>
  </si>
  <si>
    <t>&lt; 60% score = oudergesprek</t>
  </si>
  <si>
    <t>Rekenen / wiskunde</t>
  </si>
  <si>
    <t>Telt voorwerpen tot en met 20; synchroon en resultatief.</t>
  </si>
  <si>
    <r>
      <t>Kan eenvoudige optel- en aftrekproblemen in betekenisvolle contextsituaties handelend oplossen tot tenminste 10</t>
    </r>
    <r>
      <rPr>
        <sz val="11"/>
        <color rgb="FF000000"/>
        <rFont val="Calibri Light"/>
        <family val="2"/>
      </rPr>
      <t>.</t>
    </r>
  </si>
  <si>
    <t>Kan eenvoudige splitsproblemen (handelend) oplossen tot ten minste 10 met behulp van concreet materiaal vanuit een context.</t>
  </si>
  <si>
    <t>Kent rekenbegrippenkennis als rangtelwoorden, meer, minder, evenveel, meest, minst, samen.</t>
  </si>
  <si>
    <t>Gestructureerde en ongestructureerde hoeveelheden t/m 6 in één keer overzien, zonder te tellen.</t>
  </si>
  <si>
    <t>Oordeel van de leerkracht.</t>
  </si>
  <si>
    <t>Lezen / taal / schrijven</t>
  </si>
  <si>
    <r>
      <t xml:space="preserve">Leest en schrijft woorden als globale eenheden, zoals de </t>
    </r>
    <r>
      <rPr>
        <b/>
        <sz val="11"/>
        <color rgb="FFFF0000"/>
        <rFont val="Calibri Light"/>
        <family val="2"/>
      </rPr>
      <t>eigen naam</t>
    </r>
    <r>
      <rPr>
        <sz val="11"/>
        <color rgb="FFFF0000"/>
        <rFont val="Calibri Light"/>
        <family val="2"/>
      </rPr>
      <t xml:space="preserve"> </t>
    </r>
    <r>
      <rPr>
        <sz val="11"/>
        <color rgb="FF000000"/>
        <rFont val="Calibri Light"/>
        <family val="2"/>
      </rPr>
      <t>en namen van personen en dingen die voor hen belangrijk zijn.</t>
    </r>
  </si>
  <si>
    <t>Spreekt duidelijk en verstaanbaar.</t>
  </si>
  <si>
    <t xml:space="preserve">Vertelt een verhaal chronologisch en samenhangend. Maakt gebruik van moeilijkere woorden. </t>
  </si>
  <si>
    <t>dyslexie          screening</t>
  </si>
  <si>
    <r>
      <t>K</t>
    </r>
    <r>
      <rPr>
        <sz val="11"/>
        <color rgb="FF000000"/>
        <rFont val="Calibri Light"/>
        <family val="2"/>
      </rPr>
      <t>an &gt;14 letters benoemen.</t>
    </r>
  </si>
  <si>
    <t>Kan kleuren benoemen op tempo.</t>
  </si>
  <si>
    <t>Sociale en emotionele ontwikkeling</t>
  </si>
  <si>
    <t>Maakt contact met anderen: stelt vragen aan anderen, vertelt iets aan anderen</t>
  </si>
  <si>
    <t>Laat volgehouden intense momenten van betrokkenheid bij activiteiten zien (± 15 minuten).</t>
  </si>
  <si>
    <r>
      <t xml:space="preserve">Grove </t>
    </r>
    <r>
      <rPr>
        <sz val="11"/>
        <color rgb="FF000000"/>
        <rFont val="Calibri Light"/>
        <family val="2"/>
      </rPr>
      <t>motoriek: kan hinkelen; springen, gooien, vangen, balanceren.</t>
    </r>
  </si>
  <si>
    <t>Maakt alle sluitingen open en dicht, denk aan knopen, ritssluitingen, veters.</t>
  </si>
  <si>
    <t>Spel- ontwikkeling</t>
  </si>
  <si>
    <t xml:space="preserve">Kind doet verschillende activiteiten: rollenspel, constructiespel, creatief spel etc. </t>
  </si>
  <si>
    <t>rekenen / wiskunde</t>
  </si>
  <si>
    <t xml:space="preserve">Spelontwikkeling </t>
  </si>
  <si>
    <t xml:space="preserve">Opmerkingen </t>
  </si>
  <si>
    <t>miep</t>
  </si>
  <si>
    <t>madelief</t>
  </si>
  <si>
    <t>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</si>
</sst>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[$-413]d/mmm/yy;@"/>
    <numFmt numFmtId="165" formatCode="[$-413]d/mmm/yyyy;@"/>
  </numFmts>
  <fonts count="37" x14ac:knownFonts="1">
    <font>
      <sz val="10"/>
      <name val="Arial"/>
    </font>
    <font>
      <sz val="10"/>
      <name val="Arial"/>
      <family val="2"/>
    </font>
    <font>
      <sz val="10"/>
      <color indexed="81"/>
      <name val="Arial"/>
      <family val="2"/>
    </font>
    <font>
      <sz val="9"/>
      <name val="Verdan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sz val="12"/>
      <name val="Calibri Light"/>
      <family val="2"/>
    </font>
    <font>
      <sz val="10"/>
      <name val="Calibri Light"/>
      <family val="2"/>
    </font>
    <font>
      <sz val="10"/>
      <color rgb="FF92D050"/>
      <name val="Calibri Light"/>
      <family val="2"/>
    </font>
    <font>
      <sz val="8"/>
      <name val="Calibri Light"/>
      <family val="2"/>
    </font>
    <font>
      <sz val="8"/>
      <color indexed="10"/>
      <name val="Calibri Light"/>
      <family val="2"/>
    </font>
    <font>
      <sz val="12"/>
      <color theme="1"/>
      <name val="Calibri Light"/>
      <family val="2"/>
    </font>
    <font>
      <sz val="14"/>
      <name val="Calibri Light"/>
      <family val="2"/>
    </font>
    <font>
      <b/>
      <sz val="10"/>
      <name val="Calibri Light"/>
      <family val="2"/>
    </font>
    <font>
      <b/>
      <sz val="14"/>
      <name val="Calibri Light"/>
      <family val="2"/>
    </font>
    <font>
      <b/>
      <sz val="12"/>
      <name val="Calibri Light"/>
      <family val="2"/>
    </font>
    <font>
      <b/>
      <sz val="14"/>
      <color theme="0"/>
      <name val="Calibri Light"/>
      <family val="2"/>
    </font>
    <font>
      <b/>
      <sz val="10"/>
      <color rgb="FFFF0000"/>
      <name val="Calibri Light"/>
      <family val="2"/>
    </font>
    <font>
      <b/>
      <sz val="10"/>
      <color theme="9" tint="-0.249977111117893"/>
      <name val="Calibri Light"/>
      <family val="2"/>
    </font>
    <font>
      <b/>
      <sz val="10"/>
      <color rgb="FF00B050"/>
      <name val="Calibri Light"/>
      <family val="2"/>
    </font>
    <font>
      <sz val="11"/>
      <name val="Calibri Light"/>
      <family val="2"/>
    </font>
    <font>
      <sz val="11"/>
      <color rgb="FF000000"/>
      <name val="Calibri Light"/>
      <family val="2"/>
    </font>
    <font>
      <b/>
      <sz val="11"/>
      <color rgb="FFFF0000"/>
      <name val="Calibri Light"/>
      <family val="2"/>
    </font>
    <font>
      <sz val="11"/>
      <color rgb="FFFF0000"/>
      <name val="Calibri Light"/>
      <family val="2"/>
    </font>
    <font>
      <sz val="12"/>
      <color rgb="FFFF0000"/>
      <name val="Calibri Light"/>
      <family val="2"/>
    </font>
    <font>
      <sz val="12"/>
      <color theme="9" tint="-0.24994659260841701"/>
      <name val="Calibri Light"/>
      <family val="2"/>
    </font>
    <font>
      <b/>
      <sz val="12"/>
      <color rgb="FFFF0000"/>
      <name val="Calibri Light"/>
      <family val="2"/>
    </font>
    <font>
      <sz val="12"/>
      <color rgb="FF00B050"/>
      <name val="Calibri Light"/>
      <family val="2"/>
    </font>
    <font>
      <sz val="12"/>
      <color theme="0" tint="-0.499984740745262"/>
      <name val="Calibri Light"/>
      <family val="2"/>
    </font>
    <font>
      <sz val="12"/>
      <color rgb="FF0070C0"/>
      <name val="Calibri Light"/>
      <family val="2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CC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F9F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 style="thin">
        <color indexed="64"/>
      </bottom>
      <diagonal/>
    </border>
    <border>
      <left/>
      <right/>
      <top style="thick">
        <color rgb="FF0070C0"/>
      </top>
      <bottom style="thin">
        <color indexed="64"/>
      </bottom>
      <diagonal/>
    </border>
    <border>
      <left/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36" fillId="0" borderId="0" applyFont="0" applyFill="0" applyBorder="0" applyAlignment="0" applyProtection="0"/>
  </cellStyleXfs>
  <cellXfs count="37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shrinkToFit="1"/>
    </xf>
    <xf numFmtId="0" fontId="4" fillId="0" borderId="17" xfId="0" applyFont="1" applyBorder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0" fontId="6" fillId="0" borderId="0" xfId="0" applyFont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16" borderId="0" xfId="0" applyFont="1" applyFill="1"/>
    <xf numFmtId="0" fontId="4" fillId="16" borderId="0" xfId="0" applyFont="1" applyFill="1"/>
    <xf numFmtId="0" fontId="6" fillId="15" borderId="0" xfId="0" applyFont="1" applyFill="1"/>
    <xf numFmtId="0" fontId="4" fillId="15" borderId="0" xfId="0" applyFont="1" applyFill="1"/>
    <xf numFmtId="0" fontId="7" fillId="14" borderId="0" xfId="0" applyFont="1" applyFill="1"/>
    <xf numFmtId="0" fontId="9" fillId="14" borderId="0" xfId="0" applyFont="1" applyFill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25" xfId="0" applyBorder="1"/>
    <xf numFmtId="0" fontId="1" fillId="0" borderId="25" xfId="0" applyFont="1" applyBorder="1" applyAlignment="1">
      <alignment textRotation="90"/>
    </xf>
    <xf numFmtId="0" fontId="6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top" wrapText="1"/>
    </xf>
    <xf numFmtId="0" fontId="12" fillId="3" borderId="42" xfId="0" applyFont="1" applyFill="1" applyBorder="1"/>
    <xf numFmtId="0" fontId="12" fillId="3" borderId="43" xfId="0" applyFont="1" applyFill="1" applyBorder="1"/>
    <xf numFmtId="0" fontId="12" fillId="0" borderId="44" xfId="0" applyFont="1" applyBorder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46" xfId="0" applyFont="1" applyBorder="1" applyAlignment="1">
      <alignment horizontal="center"/>
    </xf>
    <xf numFmtId="0" fontId="12" fillId="0" borderId="47" xfId="0" applyFont="1" applyBorder="1" applyProtection="1">
      <protection locked="0"/>
    </xf>
    <xf numFmtId="0" fontId="12" fillId="0" borderId="47" xfId="0" applyFont="1" applyBorder="1" applyAlignment="1" applyProtection="1">
      <alignment horizontal="center"/>
      <protection locked="0"/>
    </xf>
    <xf numFmtId="0" fontId="15" fillId="3" borderId="37" xfId="0" applyFont="1" applyFill="1" applyBorder="1" applyAlignment="1">
      <alignment horizontal="center" vertical="top" wrapText="1"/>
    </xf>
    <xf numFmtId="0" fontId="12" fillId="3" borderId="30" xfId="0" applyFont="1" applyFill="1" applyBorder="1"/>
    <xf numFmtId="0" fontId="12" fillId="3" borderId="30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12" fillId="11" borderId="38" xfId="0" applyFont="1" applyFill="1" applyBorder="1" applyAlignment="1">
      <alignment horizontal="center" vertical="center"/>
    </xf>
    <xf numFmtId="0" fontId="12" fillId="2" borderId="62" xfId="0" applyFont="1" applyFill="1" applyBorder="1"/>
    <xf numFmtId="0" fontId="15" fillId="2" borderId="31" xfId="0" applyFont="1" applyFill="1" applyBorder="1"/>
    <xf numFmtId="0" fontId="15" fillId="2" borderId="32" xfId="0" applyFont="1" applyFill="1" applyBorder="1"/>
    <xf numFmtId="0" fontId="15" fillId="3" borderId="11" xfId="0" applyFont="1" applyFill="1" applyBorder="1" applyAlignment="1">
      <alignment horizontal="center" vertical="top" wrapText="1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2" fillId="11" borderId="16" xfId="0" applyFont="1" applyFill="1" applyBorder="1" applyAlignment="1">
      <alignment horizontal="center" vertical="center"/>
    </xf>
    <xf numFmtId="0" fontId="15" fillId="4" borderId="11" xfId="0" applyFont="1" applyFill="1" applyBorder="1"/>
    <xf numFmtId="0" fontId="15" fillId="4" borderId="0" xfId="0" applyFont="1" applyFill="1"/>
    <xf numFmtId="0" fontId="15" fillId="4" borderId="16" xfId="0" applyFont="1" applyFill="1" applyBorder="1"/>
    <xf numFmtId="0" fontId="16" fillId="3" borderId="0" xfId="0" applyFont="1" applyFill="1"/>
    <xf numFmtId="0" fontId="12" fillId="3" borderId="0" xfId="0" applyFont="1" applyFill="1" applyAlignment="1">
      <alignment horizontal="center"/>
    </xf>
    <xf numFmtId="0" fontId="15" fillId="4" borderId="33" xfId="0" applyFont="1" applyFill="1" applyBorder="1"/>
    <xf numFmtId="0" fontId="15" fillId="4" borderId="17" xfId="0" applyFont="1" applyFill="1" applyBorder="1"/>
    <xf numFmtId="0" fontId="15" fillId="4" borderId="34" xfId="0" applyFont="1" applyFill="1" applyBorder="1"/>
    <xf numFmtId="0" fontId="12" fillId="2" borderId="51" xfId="0" applyFont="1" applyFill="1" applyBorder="1" applyAlignment="1">
      <alignment horizontal="center"/>
    </xf>
    <xf numFmtId="0" fontId="17" fillId="2" borderId="52" xfId="0" applyFont="1" applyFill="1" applyBorder="1" applyAlignment="1">
      <alignment horizontal="left"/>
    </xf>
    <xf numFmtId="0" fontId="12" fillId="2" borderId="52" xfId="0" applyFont="1" applyFill="1" applyBorder="1" applyAlignment="1">
      <alignment horizont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/>
    </xf>
    <xf numFmtId="0" fontId="12" fillId="2" borderId="24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 shrinkToFit="1"/>
    </xf>
    <xf numFmtId="0" fontId="12" fillId="2" borderId="27" xfId="0" applyFont="1" applyFill="1" applyBorder="1" applyAlignment="1">
      <alignment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12" borderId="24" xfId="0" applyFont="1" applyFill="1" applyBorder="1" applyAlignment="1">
      <alignment shrinkToFit="1"/>
    </xf>
    <xf numFmtId="0" fontId="12" fillId="12" borderId="25" xfId="0" applyFont="1" applyFill="1" applyBorder="1" applyAlignment="1">
      <alignment shrinkToFit="1"/>
    </xf>
    <xf numFmtId="0" fontId="12" fillId="12" borderId="27" xfId="0" applyFont="1" applyFill="1" applyBorder="1" applyAlignment="1">
      <alignment shrinkToFit="1"/>
    </xf>
    <xf numFmtId="0" fontId="12" fillId="0" borderId="28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4" xfId="0" applyFont="1" applyBorder="1" applyAlignment="1" applyProtection="1">
      <alignment horizontal="center"/>
      <protection locked="0"/>
    </xf>
    <xf numFmtId="0" fontId="15" fillId="0" borderId="57" xfId="0" applyFont="1" applyBorder="1" applyAlignment="1" applyProtection="1">
      <alignment horizontal="center" shrinkToFit="1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5" fillId="0" borderId="39" xfId="0" applyFont="1" applyBorder="1" applyAlignment="1" applyProtection="1">
      <alignment horizontal="center" shrinkToFit="1"/>
      <protection locked="0"/>
    </xf>
    <xf numFmtId="0" fontId="15" fillId="0" borderId="40" xfId="0" applyFont="1" applyBorder="1" applyAlignment="1" applyProtection="1">
      <alignment horizontal="center" shrinkToFit="1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12" fillId="0" borderId="56" xfId="0" applyFont="1" applyBorder="1" applyAlignment="1" applyProtection="1">
      <alignment horizontal="center"/>
      <protection locked="0"/>
    </xf>
    <xf numFmtId="0" fontId="12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 shrinkToFi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 shrinkToFit="1"/>
      <protection locked="0"/>
    </xf>
    <xf numFmtId="0" fontId="15" fillId="0" borderId="14" xfId="0" applyFont="1" applyBorder="1" applyAlignment="1" applyProtection="1">
      <alignment horizontal="center" shrinkToFit="1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29" xfId="0" applyFont="1" applyBorder="1" applyAlignment="1">
      <alignment horizontal="center"/>
    </xf>
    <xf numFmtId="0" fontId="12" fillId="0" borderId="22" xfId="0" applyFont="1" applyBorder="1" applyAlignment="1">
      <alignment horizontal="left"/>
    </xf>
    <xf numFmtId="0" fontId="12" fillId="0" borderId="22" xfId="0" applyFont="1" applyBorder="1" applyAlignment="1">
      <alignment horizontal="center"/>
    </xf>
    <xf numFmtId="165" fontId="12" fillId="0" borderId="22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 applyProtection="1">
      <alignment horizontal="center"/>
      <protection locked="0"/>
    </xf>
    <xf numFmtId="0" fontId="15" fillId="0" borderId="35" xfId="0" applyFont="1" applyBorder="1" applyAlignment="1" applyProtection="1">
      <alignment horizontal="center" shrinkToFit="1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5" fillId="0" borderId="21" xfId="0" applyFont="1" applyBorder="1" applyAlignment="1" applyProtection="1">
      <alignment horizontal="center" shrinkToFit="1"/>
      <protection locked="0"/>
    </xf>
    <xf numFmtId="0" fontId="15" fillId="0" borderId="26" xfId="0" applyFont="1" applyBorder="1" applyAlignment="1" applyProtection="1">
      <alignment horizontal="center" shrinkToFit="1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5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9" fontId="12" fillId="0" borderId="2" xfId="1" applyFont="1" applyBorder="1" applyAlignment="1" applyProtection="1">
      <alignment horizontal="center"/>
    </xf>
    <xf numFmtId="0" fontId="4" fillId="14" borderId="0" xfId="0" applyFont="1" applyFill="1"/>
    <xf numFmtId="0" fontId="12" fillId="8" borderId="49" xfId="0" applyFont="1" applyFill="1" applyBorder="1" applyAlignment="1">
      <alignment horizontal="left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left" vertical="center"/>
    </xf>
    <xf numFmtId="0" fontId="12" fillId="0" borderId="50" xfId="0" applyFont="1" applyBorder="1" applyAlignment="1">
      <alignment vertical="center" wrapText="1"/>
    </xf>
    <xf numFmtId="0" fontId="15" fillId="9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12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10" borderId="2" xfId="0" applyFont="1" applyFill="1" applyBorder="1" applyAlignment="1">
      <alignment horizontal="left" vertical="center"/>
    </xf>
    <xf numFmtId="0" fontId="13" fillId="11" borderId="2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9" fillId="0" borderId="66" xfId="0" applyFont="1" applyBorder="1" applyAlignment="1">
      <alignment horizontal="left" vertical="center"/>
    </xf>
    <xf numFmtId="0" fontId="13" fillId="0" borderId="67" xfId="0" applyFont="1" applyBorder="1" applyAlignment="1">
      <alignment horizontal="left" vertical="center"/>
    </xf>
    <xf numFmtId="0" fontId="13" fillId="12" borderId="66" xfId="0" applyFont="1" applyFill="1" applyBorder="1" applyAlignment="1">
      <alignment horizontal="left" vertical="center"/>
    </xf>
    <xf numFmtId="0" fontId="13" fillId="12" borderId="67" xfId="0" applyFont="1" applyFill="1" applyBorder="1" applyAlignment="1">
      <alignment horizontal="left" vertical="center"/>
    </xf>
    <xf numFmtId="0" fontId="13" fillId="9" borderId="66" xfId="0" applyFont="1" applyFill="1" applyBorder="1" applyAlignment="1">
      <alignment horizontal="left" vertical="center"/>
    </xf>
    <xf numFmtId="0" fontId="13" fillId="9" borderId="67" xfId="0" applyFont="1" applyFill="1" applyBorder="1" applyAlignment="1">
      <alignment horizontal="left" vertical="center"/>
    </xf>
    <xf numFmtId="0" fontId="13" fillId="0" borderId="66" xfId="0" applyFont="1" applyBorder="1" applyAlignment="1">
      <alignment horizontal="left" vertical="center"/>
    </xf>
    <xf numFmtId="0" fontId="13" fillId="10" borderId="66" xfId="0" applyFont="1" applyFill="1" applyBorder="1" applyAlignment="1">
      <alignment horizontal="left" vertical="center"/>
    </xf>
    <xf numFmtId="0" fontId="13" fillId="10" borderId="67" xfId="0" applyFont="1" applyFill="1" applyBorder="1" applyAlignment="1">
      <alignment horizontal="left" vertical="center"/>
    </xf>
    <xf numFmtId="0" fontId="13" fillId="11" borderId="66" xfId="0" applyFont="1" applyFill="1" applyBorder="1" applyAlignment="1">
      <alignment horizontal="left" vertical="center"/>
    </xf>
    <xf numFmtId="0" fontId="13" fillId="11" borderId="67" xfId="0" applyFont="1" applyFill="1" applyBorder="1" applyAlignment="1">
      <alignment horizontal="left" vertical="center"/>
    </xf>
    <xf numFmtId="0" fontId="23" fillId="0" borderId="66" xfId="0" applyFont="1" applyBorder="1" applyAlignment="1">
      <alignment horizontal="left" vertical="center"/>
    </xf>
    <xf numFmtId="0" fontId="23" fillId="0" borderId="67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4" fillId="0" borderId="67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14" fillId="0" borderId="66" xfId="0" applyFont="1" applyBorder="1" applyAlignment="1">
      <alignment horizontal="left" vertical="center"/>
    </xf>
    <xf numFmtId="0" fontId="14" fillId="0" borderId="67" xfId="0" applyFont="1" applyBorder="1" applyAlignment="1">
      <alignment horizontal="left" vertical="center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165" fontId="12" fillId="0" borderId="47" xfId="0" applyNumberFormat="1" applyFont="1" applyBorder="1" applyAlignment="1" applyProtection="1">
      <alignment horizontal="center" vertical="center"/>
      <protection locked="0"/>
    </xf>
    <xf numFmtId="0" fontId="27" fillId="8" borderId="72" xfId="0" applyFont="1" applyFill="1" applyBorder="1" applyAlignment="1">
      <alignment vertical="center" wrapText="1"/>
    </xf>
    <xf numFmtId="0" fontId="27" fillId="8" borderId="1" xfId="0" applyFont="1" applyFill="1" applyBorder="1" applyAlignment="1">
      <alignment vertical="center" wrapText="1"/>
    </xf>
    <xf numFmtId="0" fontId="12" fillId="9" borderId="75" xfId="0" applyFont="1" applyFill="1" applyBorder="1" applyAlignment="1">
      <alignment horizontal="center" vertical="center" textRotation="90" wrapText="1"/>
    </xf>
    <xf numFmtId="0" fontId="12" fillId="9" borderId="7" xfId="0" applyFont="1" applyFill="1" applyBorder="1" applyAlignment="1">
      <alignment horizontal="center" vertical="center" textRotation="90" wrapText="1"/>
    </xf>
    <xf numFmtId="0" fontId="12" fillId="9" borderId="19" xfId="0" applyFont="1" applyFill="1" applyBorder="1" applyAlignment="1">
      <alignment vertical="center" textRotation="90" wrapText="1"/>
    </xf>
    <xf numFmtId="0" fontId="26" fillId="9" borderId="56" xfId="0" applyFont="1" applyFill="1" applyBorder="1" applyAlignment="1">
      <alignment vertical="center" wrapText="1"/>
    </xf>
    <xf numFmtId="0" fontId="27" fillId="9" borderId="5" xfId="0" applyFont="1" applyFill="1" applyBorder="1" applyAlignment="1">
      <alignment vertical="center" wrapText="1"/>
    </xf>
    <xf numFmtId="0" fontId="26" fillId="9" borderId="7" xfId="0" applyFont="1" applyFill="1" applyBorder="1" applyAlignment="1">
      <alignment vertical="center" wrapText="1"/>
    </xf>
    <xf numFmtId="0" fontId="12" fillId="9" borderId="72" xfId="0" applyFont="1" applyFill="1" applyBorder="1" applyAlignment="1">
      <alignment horizontal="left" vertical="center" wrapText="1"/>
    </xf>
    <xf numFmtId="0" fontId="26" fillId="10" borderId="76" xfId="0" applyFont="1" applyFill="1" applyBorder="1" applyAlignment="1">
      <alignment vertical="center" wrapText="1"/>
    </xf>
    <xf numFmtId="0" fontId="27" fillId="10" borderId="5" xfId="0" applyFont="1" applyFill="1" applyBorder="1" applyAlignment="1">
      <alignment vertical="center" wrapText="1"/>
    </xf>
    <xf numFmtId="0" fontId="27" fillId="11" borderId="1" xfId="0" applyFont="1" applyFill="1" applyBorder="1" applyAlignment="1">
      <alignment vertical="center" wrapText="1"/>
    </xf>
    <xf numFmtId="0" fontId="12" fillId="0" borderId="35" xfId="0" applyFont="1" applyBorder="1" applyAlignment="1">
      <alignment horizontal="center" vertical="center"/>
    </xf>
    <xf numFmtId="0" fontId="27" fillId="10" borderId="77" xfId="0" applyFont="1" applyFill="1" applyBorder="1" applyAlignment="1">
      <alignment vertical="center" wrapText="1"/>
    </xf>
    <xf numFmtId="0" fontId="26" fillId="11" borderId="3" xfId="0" applyFont="1" applyFill="1" applyBorder="1" applyAlignment="1">
      <alignment vertical="center" wrapText="1"/>
    </xf>
    <xf numFmtId="0" fontId="27" fillId="11" borderId="71" xfId="0" applyFont="1" applyFill="1" applyBorder="1" applyAlignment="1">
      <alignment vertical="center" wrapText="1"/>
    </xf>
    <xf numFmtId="0" fontId="12" fillId="0" borderId="57" xfId="0" applyFont="1" applyBorder="1" applyAlignment="1">
      <alignment horizontal="center" vertical="center"/>
    </xf>
    <xf numFmtId="0" fontId="26" fillId="0" borderId="6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27" fillId="10" borderId="22" xfId="0" applyFont="1" applyFill="1" applyBorder="1" applyAlignment="1">
      <alignment vertical="center" wrapText="1"/>
    </xf>
    <xf numFmtId="0" fontId="10" fillId="0" borderId="73" xfId="0" applyFont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wrapText="1"/>
    </xf>
    <xf numFmtId="0" fontId="12" fillId="8" borderId="33" xfId="0" applyFont="1" applyFill="1" applyBorder="1" applyAlignment="1">
      <alignment horizontal="center" wrapText="1"/>
    </xf>
    <xf numFmtId="0" fontId="31" fillId="8" borderId="35" xfId="0" applyFont="1" applyFill="1" applyBorder="1" applyAlignment="1">
      <alignment horizontal="center" textRotation="90" wrapText="1"/>
    </xf>
    <xf numFmtId="0" fontId="12" fillId="8" borderId="17" xfId="0" applyFont="1" applyFill="1" applyBorder="1" applyAlignment="1">
      <alignment horizontal="center" wrapText="1"/>
    </xf>
    <xf numFmtId="0" fontId="31" fillId="8" borderId="21" xfId="0" applyFont="1" applyFill="1" applyBorder="1" applyAlignment="1">
      <alignment horizontal="center" textRotation="90" wrapText="1"/>
    </xf>
    <xf numFmtId="0" fontId="12" fillId="8" borderId="19" xfId="0" applyFont="1" applyFill="1" applyBorder="1" applyAlignment="1">
      <alignment horizontal="center" wrapText="1"/>
    </xf>
    <xf numFmtId="0" fontId="31" fillId="8" borderId="26" xfId="0" applyFont="1" applyFill="1" applyBorder="1" applyAlignment="1">
      <alignment horizontal="center" textRotation="90" wrapText="1"/>
    </xf>
    <xf numFmtId="0" fontId="12" fillId="8" borderId="21" xfId="0" applyFont="1" applyFill="1" applyBorder="1" applyAlignment="1">
      <alignment horizontal="center" wrapText="1"/>
    </xf>
    <xf numFmtId="0" fontId="12" fillId="9" borderId="18" xfId="0" applyFont="1" applyFill="1" applyBorder="1" applyAlignment="1">
      <alignment horizontal="center" wrapText="1"/>
    </xf>
    <xf numFmtId="0" fontId="33" fillId="9" borderId="21" xfId="0" applyFont="1" applyFill="1" applyBorder="1" applyAlignment="1">
      <alignment horizontal="center" textRotation="90" wrapText="1"/>
    </xf>
    <xf numFmtId="0" fontId="12" fillId="9" borderId="19" xfId="0" applyFont="1" applyFill="1" applyBorder="1" applyAlignment="1">
      <alignment horizontal="center" wrapText="1"/>
    </xf>
    <xf numFmtId="0" fontId="33" fillId="9" borderId="26" xfId="0" applyFont="1" applyFill="1" applyBorder="1" applyAlignment="1">
      <alignment horizontal="center" textRotation="90" wrapText="1"/>
    </xf>
    <xf numFmtId="0" fontId="12" fillId="9" borderId="21" xfId="0" applyFont="1" applyFill="1" applyBorder="1" applyAlignment="1">
      <alignment horizontal="center" wrapText="1"/>
    </xf>
    <xf numFmtId="0" fontId="12" fillId="7" borderId="18" xfId="0" applyFont="1" applyFill="1" applyBorder="1" applyAlignment="1">
      <alignment horizontal="center" wrapText="1"/>
    </xf>
    <xf numFmtId="0" fontId="34" fillId="7" borderId="21" xfId="0" applyFont="1" applyFill="1" applyBorder="1" applyAlignment="1">
      <alignment horizontal="center" textRotation="90" wrapText="1"/>
    </xf>
    <xf numFmtId="0" fontId="12" fillId="7" borderId="19" xfId="0" applyFont="1" applyFill="1" applyBorder="1" applyAlignment="1">
      <alignment horizontal="center" wrapText="1"/>
    </xf>
    <xf numFmtId="0" fontId="34" fillId="7" borderId="26" xfId="0" applyFont="1" applyFill="1" applyBorder="1" applyAlignment="1">
      <alignment horizontal="center" textRotation="90" wrapText="1"/>
    </xf>
    <xf numFmtId="0" fontId="12" fillId="10" borderId="18" xfId="0" applyFont="1" applyFill="1" applyBorder="1" applyAlignment="1">
      <alignment horizontal="center" wrapText="1"/>
    </xf>
    <xf numFmtId="0" fontId="30" fillId="10" borderId="21" xfId="0" applyFont="1" applyFill="1" applyBorder="1" applyAlignment="1">
      <alignment horizontal="center" textRotation="90" wrapText="1"/>
    </xf>
    <xf numFmtId="0" fontId="12" fillId="10" borderId="19" xfId="0" applyFont="1" applyFill="1" applyBorder="1" applyAlignment="1">
      <alignment horizontal="center" wrapText="1"/>
    </xf>
    <xf numFmtId="0" fontId="30" fillId="10" borderId="35" xfId="0" applyFont="1" applyFill="1" applyBorder="1" applyAlignment="1">
      <alignment horizontal="center" textRotation="90" wrapText="1"/>
    </xf>
    <xf numFmtId="0" fontId="30" fillId="10" borderId="26" xfId="0" applyFont="1" applyFill="1" applyBorder="1" applyAlignment="1">
      <alignment horizontal="center" textRotation="90" wrapText="1"/>
    </xf>
    <xf numFmtId="0" fontId="12" fillId="11" borderId="18" xfId="0" applyFont="1" applyFill="1" applyBorder="1" applyAlignment="1">
      <alignment horizontal="center" wrapText="1"/>
    </xf>
    <xf numFmtId="0" fontId="35" fillId="11" borderId="21" xfId="0" applyFont="1" applyFill="1" applyBorder="1" applyAlignment="1">
      <alignment horizontal="center" textRotation="90" wrapText="1"/>
    </xf>
    <xf numFmtId="0" fontId="12" fillId="11" borderId="19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8" borderId="0" xfId="0" applyFont="1" applyFill="1" applyAlignment="1">
      <alignment horizontal="center"/>
    </xf>
    <xf numFmtId="0" fontId="12" fillId="10" borderId="19" xfId="0" applyFont="1" applyFill="1" applyBorder="1" applyAlignment="1">
      <alignment horizontal="center" textRotation="90" wrapText="1"/>
    </xf>
    <xf numFmtId="44" fontId="15" fillId="0" borderId="56" xfId="2" applyFont="1" applyBorder="1" applyAlignment="1" applyProtection="1">
      <alignment horizontal="center" shrinkToFit="1"/>
      <protection locked="0"/>
    </xf>
    <xf numFmtId="44" fontId="15" fillId="0" borderId="5" xfId="2" applyFont="1" applyBorder="1" applyAlignment="1" applyProtection="1">
      <alignment horizontal="center" shrinkToFit="1"/>
      <protection locked="0"/>
    </xf>
    <xf numFmtId="44" fontId="15" fillId="0" borderId="19" xfId="2" applyFont="1" applyBorder="1" applyAlignment="1" applyProtection="1">
      <alignment horizontal="center" shrinkToFit="1"/>
      <protection locked="0"/>
    </xf>
    <xf numFmtId="0" fontId="11" fillId="0" borderId="17" xfId="0" applyFont="1" applyBorder="1"/>
    <xf numFmtId="0" fontId="12" fillId="0" borderId="5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wrapText="1"/>
    </xf>
    <xf numFmtId="0" fontId="4" fillId="0" borderId="54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27" fillId="8" borderId="3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vertical="center" wrapText="1"/>
    </xf>
    <xf numFmtId="1" fontId="12" fillId="0" borderId="45" xfId="0" applyNumberFormat="1" applyFont="1" applyBorder="1" applyAlignment="1" applyProtection="1">
      <alignment horizontal="center" vertical="center"/>
      <protection locked="0"/>
    </xf>
    <xf numFmtId="1" fontId="12" fillId="0" borderId="45" xfId="0" applyNumberFormat="1" applyFont="1" applyBorder="1" applyAlignment="1">
      <alignment horizontal="center" vertical="center"/>
    </xf>
    <xf numFmtId="1" fontId="12" fillId="0" borderId="48" xfId="0" applyNumberFormat="1" applyFont="1" applyBorder="1" applyAlignment="1">
      <alignment horizontal="center" vertical="center"/>
    </xf>
    <xf numFmtId="0" fontId="12" fillId="20" borderId="55" xfId="0" applyFont="1" applyFill="1" applyBorder="1" applyAlignment="1">
      <alignment horizontal="center" vertical="center"/>
    </xf>
    <xf numFmtId="0" fontId="12" fillId="9" borderId="49" xfId="0" applyFont="1" applyFill="1" applyBorder="1" applyAlignment="1">
      <alignment horizontal="center" vertical="center"/>
    </xf>
    <xf numFmtId="0" fontId="12" fillId="10" borderId="49" xfId="0" applyFont="1" applyFill="1" applyBorder="1" applyAlignment="1">
      <alignment horizontal="center" vertical="center"/>
    </xf>
    <xf numFmtId="0" fontId="12" fillId="11" borderId="50" xfId="0" applyFont="1" applyFill="1" applyBorder="1" applyAlignment="1">
      <alignment horizontal="center" vertical="center"/>
    </xf>
    <xf numFmtId="0" fontId="12" fillId="20" borderId="10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12" fillId="20" borderId="29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0" fontId="13" fillId="0" borderId="69" xfId="0" applyFont="1" applyBorder="1" applyAlignment="1">
      <alignment horizontal="left" vertical="center"/>
    </xf>
    <xf numFmtId="0" fontId="13" fillId="0" borderId="7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164" fontId="6" fillId="2" borderId="5" xfId="0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164" fontId="6" fillId="2" borderId="6" xfId="0" applyNumberFormat="1" applyFont="1" applyFill="1" applyBorder="1" applyAlignment="1" applyProtection="1">
      <alignment horizontal="center"/>
      <protection locked="0"/>
    </xf>
    <xf numFmtId="0" fontId="12" fillId="8" borderId="37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10" borderId="37" xfId="0" applyFont="1" applyFill="1" applyBorder="1" applyAlignment="1">
      <alignment horizontal="center" vertical="center"/>
    </xf>
    <xf numFmtId="0" fontId="12" fillId="10" borderId="30" xfId="0" applyFont="1" applyFill="1" applyBorder="1" applyAlignment="1">
      <alignment horizontal="center" vertical="center"/>
    </xf>
    <xf numFmtId="0" fontId="12" fillId="10" borderId="38" xfId="0" applyFont="1" applyFill="1" applyBorder="1" applyAlignment="1">
      <alignment horizontal="center" vertical="center"/>
    </xf>
    <xf numFmtId="0" fontId="12" fillId="10" borderId="15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left"/>
      <protection locked="0"/>
    </xf>
    <xf numFmtId="0" fontId="12" fillId="0" borderId="78" xfId="0" applyFont="1" applyBorder="1" applyAlignment="1" applyProtection="1">
      <alignment horizontal="left"/>
      <protection locked="0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23" xfId="0" applyFont="1" applyBorder="1" applyAlignment="1" applyProtection="1">
      <alignment horizontal="left"/>
      <protection locked="0"/>
    </xf>
    <xf numFmtId="0" fontId="12" fillId="2" borderId="33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0" borderId="58" xfId="0" applyFont="1" applyFill="1" applyBorder="1" applyAlignment="1">
      <alignment horizontal="center" textRotation="90"/>
    </xf>
    <xf numFmtId="0" fontId="12" fillId="20" borderId="59" xfId="0" applyFont="1" applyFill="1" applyBorder="1" applyAlignment="1">
      <alignment horizontal="center" textRotation="90"/>
    </xf>
    <xf numFmtId="0" fontId="12" fillId="11" borderId="60" xfId="0" applyFont="1" applyFill="1" applyBorder="1" applyAlignment="1">
      <alignment horizontal="center" textRotation="90"/>
    </xf>
    <xf numFmtId="0" fontId="12" fillId="11" borderId="61" xfId="0" applyFont="1" applyFill="1" applyBorder="1" applyAlignment="1">
      <alignment horizontal="center" textRotation="90"/>
    </xf>
    <xf numFmtId="0" fontId="12" fillId="0" borderId="35" xfId="0" applyFont="1" applyBorder="1" applyAlignment="1" applyProtection="1">
      <alignment horizontal="left"/>
      <protection locked="0"/>
    </xf>
    <xf numFmtId="0" fontId="12" fillId="0" borderId="22" xfId="0" applyFont="1" applyBorder="1" applyAlignment="1" applyProtection="1">
      <alignment horizontal="left"/>
      <protection locked="0"/>
    </xf>
    <xf numFmtId="0" fontId="12" fillId="0" borderId="20" xfId="0" applyFont="1" applyBorder="1" applyAlignment="1" applyProtection="1">
      <alignment horizontal="left"/>
      <protection locked="0"/>
    </xf>
    <xf numFmtId="0" fontId="12" fillId="11" borderId="37" xfId="0" applyFont="1" applyFill="1" applyBorder="1" applyAlignment="1">
      <alignment horizontal="center" vertical="center"/>
    </xf>
    <xf numFmtId="0" fontId="12" fillId="11" borderId="3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9" borderId="58" xfId="0" applyFont="1" applyFill="1" applyBorder="1" applyAlignment="1">
      <alignment horizontal="center" textRotation="90"/>
    </xf>
    <xf numFmtId="0" fontId="12" fillId="9" borderId="59" xfId="0" applyFont="1" applyFill="1" applyBorder="1" applyAlignment="1">
      <alignment horizontal="center" textRotation="90"/>
    </xf>
    <xf numFmtId="0" fontId="12" fillId="0" borderId="58" xfId="0" applyFont="1" applyBorder="1" applyAlignment="1">
      <alignment horizontal="center" textRotation="90"/>
    </xf>
    <xf numFmtId="0" fontId="12" fillId="0" borderId="59" xfId="0" applyFont="1" applyBorder="1" applyAlignment="1">
      <alignment horizontal="center" textRotation="90"/>
    </xf>
    <xf numFmtId="0" fontId="12" fillId="10" borderId="58" xfId="0" applyFont="1" applyFill="1" applyBorder="1" applyAlignment="1">
      <alignment horizontal="center" textRotation="90"/>
    </xf>
    <xf numFmtId="0" fontId="12" fillId="10" borderId="59" xfId="0" applyFont="1" applyFill="1" applyBorder="1" applyAlignment="1">
      <alignment horizontal="center" textRotation="90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19" borderId="75" xfId="0" applyFont="1" applyFill="1" applyBorder="1" applyAlignment="1">
      <alignment horizontal="right" vertical="center"/>
    </xf>
    <xf numFmtId="0" fontId="6" fillId="19" borderId="0" xfId="0" applyFont="1" applyFill="1" applyAlignment="1">
      <alignment horizontal="right" vertical="center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7" borderId="37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2" fillId="7" borderId="15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9" borderId="38" xfId="0" applyFont="1" applyFill="1" applyBorder="1" applyAlignment="1">
      <alignment horizontal="center" vertical="center"/>
    </xf>
    <xf numFmtId="0" fontId="12" fillId="17" borderId="9" xfId="0" applyFont="1" applyFill="1" applyBorder="1" applyAlignment="1">
      <alignment horizontal="center"/>
    </xf>
    <xf numFmtId="0" fontId="12" fillId="17" borderId="2" xfId="0" applyFont="1" applyFill="1" applyBorder="1" applyAlignment="1">
      <alignment horizontal="center"/>
    </xf>
    <xf numFmtId="0" fontId="12" fillId="17" borderId="14" xfId="0" applyFont="1" applyFill="1" applyBorder="1" applyAlignment="1">
      <alignment horizontal="center"/>
    </xf>
    <xf numFmtId="0" fontId="12" fillId="9" borderId="10" xfId="0" applyFont="1" applyFill="1" applyBorder="1" applyAlignment="1">
      <alignment horizontal="left" vertical="center" indent="8"/>
    </xf>
    <xf numFmtId="0" fontId="12" fillId="9" borderId="1" xfId="0" applyFont="1" applyFill="1" applyBorder="1" applyAlignment="1">
      <alignment horizontal="left" vertical="center" indent="8"/>
    </xf>
    <xf numFmtId="0" fontId="20" fillId="11" borderId="55" xfId="0" applyFont="1" applyFill="1" applyBorder="1" applyAlignment="1">
      <alignment horizontal="center" vertical="center" textRotation="90" wrapText="1"/>
    </xf>
    <xf numFmtId="0" fontId="20" fillId="11" borderId="56" xfId="0" applyFont="1" applyFill="1" applyBorder="1" applyAlignment="1">
      <alignment horizontal="center" vertical="center" textRotation="90" wrapText="1"/>
    </xf>
    <xf numFmtId="0" fontId="20" fillId="11" borderId="10" xfId="0" applyFont="1" applyFill="1" applyBorder="1" applyAlignment="1">
      <alignment horizontal="center" vertical="center" textRotation="90" wrapText="1"/>
    </xf>
    <xf numFmtId="0" fontId="20" fillId="11" borderId="5" xfId="0" applyFont="1" applyFill="1" applyBorder="1" applyAlignment="1">
      <alignment horizontal="center" vertical="center" textRotation="90" wrapText="1"/>
    </xf>
    <xf numFmtId="0" fontId="20" fillId="11" borderId="29" xfId="0" applyFont="1" applyFill="1" applyBorder="1" applyAlignment="1">
      <alignment horizontal="center" vertical="center" textRotation="90" wrapText="1"/>
    </xf>
    <xf numFmtId="0" fontId="20" fillId="11" borderId="19" xfId="0" applyFont="1" applyFill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indent="8"/>
    </xf>
    <xf numFmtId="0" fontId="0" fillId="0" borderId="1" xfId="0" applyBorder="1" applyAlignment="1">
      <alignment horizontal="left" vertical="center" indent="8"/>
    </xf>
    <xf numFmtId="0" fontId="0" fillId="0" borderId="29" xfId="0" applyBorder="1" applyAlignment="1">
      <alignment horizontal="left" vertical="center" indent="8"/>
    </xf>
    <xf numFmtId="0" fontId="0" fillId="0" borderId="22" xfId="0" applyBorder="1" applyAlignment="1">
      <alignment horizontal="left" vertical="center" indent="8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2" fillId="14" borderId="51" xfId="0" applyFont="1" applyFill="1" applyBorder="1" applyAlignment="1" applyProtection="1">
      <alignment horizontal="center" vertical="center"/>
      <protection locked="0"/>
    </xf>
    <xf numFmtId="0" fontId="22" fillId="14" borderId="52" xfId="0" applyFont="1" applyFill="1" applyBorder="1" applyAlignment="1" applyProtection="1">
      <alignment horizontal="center" vertical="center"/>
      <protection locked="0"/>
    </xf>
    <xf numFmtId="0" fontId="12" fillId="9" borderId="74" xfId="0" applyFont="1" applyFill="1" applyBorder="1" applyAlignment="1">
      <alignment horizontal="center" vertical="center" textRotation="90" wrapText="1"/>
    </xf>
    <xf numFmtId="0" fontId="12" fillId="9" borderId="75" xfId="0" applyFont="1" applyFill="1" applyBorder="1" applyAlignment="1">
      <alignment horizontal="center" vertical="center" textRotation="90" wrapText="1"/>
    </xf>
    <xf numFmtId="0" fontId="12" fillId="9" borderId="5" xfId="0" applyFont="1" applyFill="1" applyBorder="1" applyAlignment="1">
      <alignment horizontal="center" vertical="center" textRotation="90" wrapText="1"/>
    </xf>
    <xf numFmtId="0" fontId="0" fillId="0" borderId="25" xfId="0" applyBorder="1" applyAlignment="1">
      <alignment horizontal="center"/>
    </xf>
    <xf numFmtId="0" fontId="20" fillId="0" borderId="55" xfId="0" applyFont="1" applyBorder="1" applyAlignment="1">
      <alignment horizontal="center" vertical="center" textRotation="90" wrapText="1"/>
    </xf>
    <xf numFmtId="0" fontId="20" fillId="0" borderId="49" xfId="0" applyFont="1" applyBorder="1" applyAlignment="1">
      <alignment horizontal="center" vertical="center" textRotation="90" wrapText="1"/>
    </xf>
    <xf numFmtId="0" fontId="20" fillId="0" borderId="10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textRotation="90" wrapText="1"/>
    </xf>
    <xf numFmtId="0" fontId="20" fillId="0" borderId="29" xfId="0" applyFont="1" applyBorder="1" applyAlignment="1">
      <alignment horizontal="center" vertical="center" textRotation="90" wrapText="1"/>
    </xf>
    <xf numFmtId="0" fontId="20" fillId="0" borderId="22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left" vertical="center" indent="8"/>
    </xf>
    <xf numFmtId="0" fontId="12" fillId="0" borderId="1" xfId="0" applyFont="1" applyBorder="1" applyAlignment="1">
      <alignment horizontal="left" vertical="center" indent="8"/>
    </xf>
    <xf numFmtId="0" fontId="12" fillId="10" borderId="10" xfId="0" applyFont="1" applyFill="1" applyBorder="1" applyAlignment="1">
      <alignment horizontal="left" vertical="center" indent="8"/>
    </xf>
    <xf numFmtId="0" fontId="12" fillId="10" borderId="1" xfId="0" applyFont="1" applyFill="1" applyBorder="1" applyAlignment="1">
      <alignment horizontal="left" vertical="center" indent="8"/>
    </xf>
    <xf numFmtId="0" fontId="12" fillId="11" borderId="10" xfId="0" applyFont="1" applyFill="1" applyBorder="1" applyAlignment="1">
      <alignment horizontal="left" vertical="center" indent="8"/>
    </xf>
    <xf numFmtId="0" fontId="12" fillId="11" borderId="1" xfId="0" applyFont="1" applyFill="1" applyBorder="1" applyAlignment="1">
      <alignment horizontal="left" vertical="center" indent="8"/>
    </xf>
    <xf numFmtId="0" fontId="20" fillId="9" borderId="55" xfId="0" applyFont="1" applyFill="1" applyBorder="1" applyAlignment="1">
      <alignment horizontal="center" vertical="center" textRotation="90" wrapText="1"/>
    </xf>
    <xf numFmtId="0" fontId="20" fillId="9" borderId="10" xfId="0" applyFont="1" applyFill="1" applyBorder="1" applyAlignment="1">
      <alignment horizontal="center" vertical="center" textRotation="90" wrapText="1"/>
    </xf>
    <xf numFmtId="0" fontId="20" fillId="9" borderId="29" xfId="0" applyFont="1" applyFill="1" applyBorder="1" applyAlignment="1">
      <alignment horizontal="center" vertical="center" textRotation="90" wrapText="1"/>
    </xf>
    <xf numFmtId="0" fontId="20" fillId="8" borderId="37" xfId="0" applyFont="1" applyFill="1" applyBorder="1" applyAlignment="1">
      <alignment horizontal="center" vertical="center" textRotation="90" wrapText="1"/>
    </xf>
    <xf numFmtId="0" fontId="20" fillId="8" borderId="54" xfId="0" applyFont="1" applyFill="1" applyBorder="1" applyAlignment="1">
      <alignment horizontal="center" vertical="center" textRotation="90" wrapText="1"/>
    </xf>
    <xf numFmtId="0" fontId="20" fillId="8" borderId="11" xfId="0" applyFont="1" applyFill="1" applyBorder="1" applyAlignment="1">
      <alignment horizontal="center" vertical="center" textRotation="90" wrapText="1"/>
    </xf>
    <xf numFmtId="0" fontId="20" fillId="8" borderId="0" xfId="0" applyFont="1" applyFill="1" applyAlignment="1">
      <alignment horizontal="center" vertical="center" textRotation="90" wrapText="1"/>
    </xf>
    <xf numFmtId="0" fontId="20" fillId="8" borderId="33" xfId="0" applyFont="1" applyFill="1" applyBorder="1" applyAlignment="1">
      <alignment horizontal="center" vertical="center" textRotation="90" wrapText="1"/>
    </xf>
    <xf numFmtId="0" fontId="20" fillId="8" borderId="17" xfId="0" applyFont="1" applyFill="1" applyBorder="1" applyAlignment="1">
      <alignment horizontal="center" vertical="center" textRotation="90" wrapText="1"/>
    </xf>
    <xf numFmtId="0" fontId="20" fillId="10" borderId="55" xfId="0" applyFont="1" applyFill="1" applyBorder="1" applyAlignment="1">
      <alignment horizontal="center" vertical="center" textRotation="90" wrapText="1"/>
    </xf>
    <xf numFmtId="0" fontId="20" fillId="10" borderId="56" xfId="0" applyFont="1" applyFill="1" applyBorder="1" applyAlignment="1">
      <alignment horizontal="center" vertical="center" textRotation="90" wrapText="1"/>
    </xf>
    <xf numFmtId="0" fontId="20" fillId="10" borderId="10" xfId="0" applyFont="1" applyFill="1" applyBorder="1" applyAlignment="1">
      <alignment horizontal="center" vertical="center" textRotation="90" wrapText="1"/>
    </xf>
    <xf numFmtId="0" fontId="20" fillId="10" borderId="5" xfId="0" applyFont="1" applyFill="1" applyBorder="1" applyAlignment="1">
      <alignment horizontal="center" vertical="center" textRotation="90" wrapText="1"/>
    </xf>
    <xf numFmtId="0" fontId="20" fillId="10" borderId="29" xfId="0" applyFont="1" applyFill="1" applyBorder="1" applyAlignment="1">
      <alignment horizontal="center" vertical="center" textRotation="90" wrapText="1"/>
    </xf>
    <xf numFmtId="0" fontId="20" fillId="10" borderId="19" xfId="0" applyFont="1" applyFill="1" applyBorder="1" applyAlignment="1">
      <alignment horizontal="center" vertical="center" textRotation="90" wrapText="1"/>
    </xf>
    <xf numFmtId="0" fontId="12" fillId="8" borderId="55" xfId="0" applyFont="1" applyFill="1" applyBorder="1" applyAlignment="1">
      <alignment horizontal="left" vertical="center" indent="8"/>
    </xf>
    <xf numFmtId="0" fontId="12" fillId="8" borderId="49" xfId="0" applyFont="1" applyFill="1" applyBorder="1" applyAlignment="1">
      <alignment horizontal="left" vertical="center" indent="8"/>
    </xf>
  </cellXfs>
  <cellStyles count="3">
    <cellStyle name="Procent" xfId="1" builtinId="5"/>
    <cellStyle name="Standaard" xfId="0" builtinId="0"/>
    <cellStyle name="Valuta" xfId="2" builtinId="4"/>
  </cellStyles>
  <dxfs count="14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9FF66"/>
      </font>
      <fill>
        <patternFill>
          <bgColor rgb="FF99FF66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lor theme="0"/>
      </font>
      <fill>
        <patternFill>
          <bgColor theme="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rgb="FF00B0F0"/>
      </font>
      <fill>
        <patternFill>
          <bgColor rgb="FF00B0F0"/>
        </patternFill>
      </fill>
    </dxf>
    <dxf>
      <fill>
        <patternFill>
          <bgColor rgb="FF99FF99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FF99"/>
      </font>
      <fill>
        <patternFill>
          <bgColor rgb="FF99FF99"/>
        </patternFill>
      </fill>
    </dxf>
    <dxf>
      <font>
        <color theme="0"/>
      </font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theme="0"/>
      </font>
    </dxf>
    <dxf>
      <fill>
        <patternFill>
          <bgColor indexed="10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theme="0"/>
      </font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99FF66"/>
      <color rgb="FF99FF99"/>
      <color rgb="FFFFE599"/>
      <color rgb="FFC5E0B3"/>
      <color rgb="FFD9F68F"/>
      <color rgb="FFFFC9C9"/>
      <color rgb="FFD9E2F3"/>
      <color rgb="FFD9F6F3"/>
      <color rgb="FF66FF66"/>
      <color rgb="FFFFD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</xdr:row>
      <xdr:rowOff>133350</xdr:rowOff>
    </xdr:from>
    <xdr:to>
      <xdr:col>10</xdr:col>
      <xdr:colOff>603250</xdr:colOff>
      <xdr:row>5</xdr:row>
      <xdr:rowOff>50800</xdr:rowOff>
    </xdr:to>
    <xdr:sp macro="" textlink="">
      <xdr:nvSpPr>
        <xdr:cNvPr id="2" name="Pijl: links 1">
          <a:extLst>
            <a:ext uri="{FF2B5EF4-FFF2-40B4-BE49-F238E27FC236}">
              <a16:creationId xmlns:a16="http://schemas.microsoft.com/office/drawing/2014/main" id="{B1D307EA-23FE-40EF-A406-ED9AC265E0D3}"/>
            </a:ext>
          </a:extLst>
        </xdr:cNvPr>
        <xdr:cNvSpPr/>
      </xdr:nvSpPr>
      <xdr:spPr bwMode="auto">
        <a:xfrm>
          <a:off x="4800600" y="292100"/>
          <a:ext cx="2946400" cy="679450"/>
        </a:xfrm>
        <a:prstGeom prst="leftArrow">
          <a:avLst/>
        </a:prstGeom>
        <a:solidFill>
          <a:srgbClr val="99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lang="nl-NL" sz="1100">
              <a:latin typeface="Calibri Light" panose="020F0302020204030204" pitchFamily="34" charset="0"/>
              <a:cs typeface="Calibri Light" panose="020F0302020204030204" pitchFamily="34" charset="0"/>
            </a:rPr>
            <a:t>vakje</a:t>
          </a:r>
          <a:r>
            <a:rPr lang="nl-NL" sz="1100" baseline="0">
              <a:latin typeface="Calibri Light" panose="020F0302020204030204" pitchFamily="34" charset="0"/>
              <a:cs typeface="Calibri Light" panose="020F0302020204030204" pitchFamily="34" charset="0"/>
            </a:rPr>
            <a:t> 'groep'&gt;&gt; alleen het bovenste vak invullen</a:t>
          </a:r>
          <a:endParaRPr lang="nl-NL" sz="1100">
            <a:latin typeface="Calibri Light" panose="020F0302020204030204" pitchFamily="34" charset="0"/>
            <a:cs typeface="Calibri Light" panose="020F03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57151</xdr:colOff>
      <xdr:row>7</xdr:row>
      <xdr:rowOff>12701</xdr:rowOff>
    </xdr:from>
    <xdr:to>
      <xdr:col>4</xdr:col>
      <xdr:colOff>752476</xdr:colOff>
      <xdr:row>7</xdr:row>
      <xdr:rowOff>614597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6C1363A-E2FF-4005-BEDF-92D4F134D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901" y="1352551"/>
          <a:ext cx="2622550" cy="601896"/>
        </a:xfrm>
        <a:prstGeom prst="rect">
          <a:avLst/>
        </a:prstGeom>
        <a:ln w="2540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loreantscholen.sharepoint.com/sites/de_kardoen_team/Gedeelde%20documenten/General/ZORG/Overgangsprotocol%20groep%202%20naar%20groep%203/2022-2023/Overgangsprotocol%20groep%202b.xlsx" TargetMode="External"/><Relationship Id="rId1" Type="http://schemas.openxmlformats.org/officeDocument/2006/relationships/externalLinkPath" Target="/sites/de_kardoen_team/Gedeelde%20documenten/General/ZORG/Overgangsprotocol%20groep%202%20naar%20groep%203/2022-2023/Overgangsprotocol%20groep%202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nlijst"/>
      <sheetName val="Overgangsprotocol 2-3"/>
      <sheetName val="Leerlingprofiel"/>
    </sheetNames>
    <sheetDataSet>
      <sheetData sheetId="0"/>
      <sheetData sheetId="1">
        <row r="10">
          <cell r="B10">
            <v>1</v>
          </cell>
          <cell r="C10" t="str">
            <v>Linde Hamhuis</v>
          </cell>
          <cell r="D10" t="str">
            <v>m</v>
          </cell>
          <cell r="E10">
            <v>42725</v>
          </cell>
          <cell r="F10" t="str">
            <v>2a</v>
          </cell>
          <cell r="G10">
            <v>3</v>
          </cell>
          <cell r="H10"/>
          <cell r="I10">
            <v>3</v>
          </cell>
          <cell r="J10"/>
          <cell r="K10">
            <v>3</v>
          </cell>
          <cell r="L10"/>
          <cell r="M10">
            <v>3</v>
          </cell>
          <cell r="N10"/>
          <cell r="O10">
            <v>3</v>
          </cell>
          <cell r="P10"/>
          <cell r="Q10">
            <v>3</v>
          </cell>
          <cell r="R10"/>
          <cell r="S10">
            <v>3</v>
          </cell>
          <cell r="T10"/>
          <cell r="U10">
            <v>3</v>
          </cell>
          <cell r="V10"/>
          <cell r="W10">
            <v>3</v>
          </cell>
          <cell r="X10"/>
          <cell r="Y10">
            <v>3</v>
          </cell>
          <cell r="Z10"/>
          <cell r="AA10">
            <v>3</v>
          </cell>
          <cell r="AB10"/>
          <cell r="AC10">
            <v>3</v>
          </cell>
          <cell r="AD10"/>
          <cell r="AE10">
            <v>3</v>
          </cell>
          <cell r="AF10"/>
          <cell r="AG10">
            <v>3</v>
          </cell>
          <cell r="AH10"/>
          <cell r="AI10">
            <v>3</v>
          </cell>
          <cell r="AJ10"/>
          <cell r="AK10">
            <v>3</v>
          </cell>
          <cell r="AL10"/>
          <cell r="AM10">
            <v>3</v>
          </cell>
          <cell r="AN10"/>
          <cell r="AO10">
            <v>3</v>
          </cell>
          <cell r="AP10"/>
          <cell r="AQ10">
            <v>3</v>
          </cell>
          <cell r="AR10"/>
          <cell r="AS10">
            <v>3</v>
          </cell>
          <cell r="AT10"/>
          <cell r="AU10">
            <v>3</v>
          </cell>
          <cell r="AV10"/>
          <cell r="AW10">
            <v>3</v>
          </cell>
          <cell r="AX10"/>
          <cell r="AY10">
            <v>3</v>
          </cell>
          <cell r="AZ10"/>
          <cell r="BA10">
            <v>3</v>
          </cell>
          <cell r="BB10"/>
          <cell r="BC10">
            <v>3</v>
          </cell>
          <cell r="BD10"/>
          <cell r="BE10">
            <v>3</v>
          </cell>
          <cell r="BF10"/>
          <cell r="BG10">
            <v>3</v>
          </cell>
          <cell r="BH10"/>
          <cell r="BI10">
            <v>3</v>
          </cell>
          <cell r="BJ10"/>
          <cell r="BK10">
            <v>3</v>
          </cell>
          <cell r="BL10"/>
          <cell r="BM10">
            <v>3</v>
          </cell>
          <cell r="BN10"/>
          <cell r="BO10"/>
          <cell r="BP10">
            <v>3</v>
          </cell>
          <cell r="BQ10"/>
          <cell r="BR10">
            <v>3</v>
          </cell>
          <cell r="BS10"/>
          <cell r="BT10">
            <v>3</v>
          </cell>
          <cell r="BU10"/>
          <cell r="BV10">
            <v>3</v>
          </cell>
          <cell r="BW10"/>
          <cell r="BX10">
            <v>3</v>
          </cell>
          <cell r="BY10"/>
          <cell r="BZ10">
            <v>3</v>
          </cell>
          <cell r="CA10"/>
          <cell r="CB10">
            <v>30</v>
          </cell>
          <cell r="CC10">
            <v>30</v>
          </cell>
          <cell r="CD10">
            <v>18</v>
          </cell>
          <cell r="CE10">
            <v>15</v>
          </cell>
          <cell r="CF10">
            <v>15</v>
          </cell>
          <cell r="CG10"/>
        </row>
        <row r="11">
          <cell r="B11">
            <v>2</v>
          </cell>
          <cell r="C11" t="str">
            <v>Julia Hekman</v>
          </cell>
          <cell r="D11" t="str">
            <v>m</v>
          </cell>
          <cell r="E11">
            <v>42898</v>
          </cell>
          <cell r="F11" t="str">
            <v>2a</v>
          </cell>
          <cell r="G11">
            <v>3</v>
          </cell>
          <cell r="H11"/>
          <cell r="I11">
            <v>2</v>
          </cell>
          <cell r="J11"/>
          <cell r="K11">
            <v>2</v>
          </cell>
          <cell r="L11"/>
          <cell r="M11">
            <v>3</v>
          </cell>
          <cell r="N11"/>
          <cell r="O11">
            <v>2</v>
          </cell>
          <cell r="P11"/>
          <cell r="Q11">
            <v>2</v>
          </cell>
          <cell r="R11"/>
          <cell r="S11">
            <v>2</v>
          </cell>
          <cell r="T11"/>
          <cell r="U11">
            <v>2</v>
          </cell>
          <cell r="V11"/>
          <cell r="W11">
            <v>3</v>
          </cell>
          <cell r="X11"/>
          <cell r="Y11">
            <v>2</v>
          </cell>
          <cell r="Z11" t="str">
            <v>Heeft moeite met inzicht</v>
          </cell>
          <cell r="AA11">
            <v>2</v>
          </cell>
          <cell r="AB11"/>
          <cell r="AC11">
            <v>3</v>
          </cell>
          <cell r="AD11"/>
          <cell r="AE11">
            <v>3</v>
          </cell>
          <cell r="AF11"/>
          <cell r="AG11">
            <v>3</v>
          </cell>
          <cell r="AH11"/>
          <cell r="AI11">
            <v>3</v>
          </cell>
          <cell r="AJ11"/>
          <cell r="AK11">
            <v>3</v>
          </cell>
          <cell r="AL11"/>
          <cell r="AM11">
            <v>3</v>
          </cell>
          <cell r="AN11"/>
          <cell r="AO11">
            <v>3</v>
          </cell>
          <cell r="AP11"/>
          <cell r="AQ11">
            <v>3</v>
          </cell>
          <cell r="AR11"/>
          <cell r="AS11">
            <v>3</v>
          </cell>
          <cell r="AT11"/>
          <cell r="AU11">
            <v>3</v>
          </cell>
          <cell r="AV11"/>
          <cell r="AW11">
            <v>3</v>
          </cell>
          <cell r="AX11"/>
          <cell r="AY11">
            <v>3</v>
          </cell>
          <cell r="AZ11"/>
          <cell r="BA11">
            <v>3</v>
          </cell>
          <cell r="BB11"/>
          <cell r="BC11">
            <v>3</v>
          </cell>
          <cell r="BD11"/>
          <cell r="BE11">
            <v>3</v>
          </cell>
          <cell r="BF11"/>
          <cell r="BG11">
            <v>3</v>
          </cell>
          <cell r="BH11"/>
          <cell r="BI11">
            <v>3</v>
          </cell>
          <cell r="BJ11"/>
          <cell r="BK11">
            <v>3</v>
          </cell>
          <cell r="BL11"/>
          <cell r="BM11">
            <v>3</v>
          </cell>
          <cell r="BN11"/>
          <cell r="BO11"/>
          <cell r="BP11">
            <v>3</v>
          </cell>
          <cell r="BQ11"/>
          <cell r="BR11">
            <v>3</v>
          </cell>
          <cell r="BS11"/>
          <cell r="BT11">
            <v>3</v>
          </cell>
          <cell r="BU11"/>
          <cell r="BV11">
            <v>3</v>
          </cell>
          <cell r="BW11"/>
          <cell r="BX11">
            <v>3</v>
          </cell>
          <cell r="BY11"/>
          <cell r="BZ11">
            <v>3</v>
          </cell>
          <cell r="CA11"/>
          <cell r="CB11">
            <v>23</v>
          </cell>
          <cell r="CC11">
            <v>29</v>
          </cell>
          <cell r="CD11">
            <v>18</v>
          </cell>
          <cell r="CE11">
            <v>15</v>
          </cell>
          <cell r="CF11">
            <v>15</v>
          </cell>
          <cell r="CG11"/>
        </row>
        <row r="12">
          <cell r="B12">
            <v>3</v>
          </cell>
          <cell r="C12" t="str">
            <v>Lauren Hogenkamp</v>
          </cell>
          <cell r="D12" t="str">
            <v>m</v>
          </cell>
          <cell r="E12">
            <v>42718</v>
          </cell>
          <cell r="F12" t="str">
            <v>2a</v>
          </cell>
          <cell r="G12">
            <v>3</v>
          </cell>
          <cell r="H12"/>
          <cell r="I12">
            <v>3</v>
          </cell>
          <cell r="J12"/>
          <cell r="K12">
            <v>3</v>
          </cell>
          <cell r="L12"/>
          <cell r="M12">
            <v>3</v>
          </cell>
          <cell r="N12"/>
          <cell r="O12">
            <v>3</v>
          </cell>
          <cell r="P12"/>
          <cell r="Q12">
            <v>3</v>
          </cell>
          <cell r="R12"/>
          <cell r="S12">
            <v>3</v>
          </cell>
          <cell r="T12"/>
          <cell r="U12">
            <v>3</v>
          </cell>
          <cell r="V12"/>
          <cell r="W12">
            <v>3</v>
          </cell>
          <cell r="X12"/>
          <cell r="Y12">
            <v>3</v>
          </cell>
          <cell r="Z12"/>
          <cell r="AA12">
            <v>3</v>
          </cell>
          <cell r="AB12"/>
          <cell r="AC12">
            <v>3</v>
          </cell>
          <cell r="AD12"/>
          <cell r="AE12">
            <v>3</v>
          </cell>
          <cell r="AF12"/>
          <cell r="AG12">
            <v>3</v>
          </cell>
          <cell r="AH12"/>
          <cell r="AI12">
            <v>3</v>
          </cell>
          <cell r="AJ12"/>
          <cell r="AK12">
            <v>3</v>
          </cell>
          <cell r="AL12"/>
          <cell r="AM12">
            <v>3</v>
          </cell>
          <cell r="AN12"/>
          <cell r="AO12">
            <v>3</v>
          </cell>
          <cell r="AP12"/>
          <cell r="AQ12">
            <v>3</v>
          </cell>
          <cell r="AR12"/>
          <cell r="AS12">
            <v>3</v>
          </cell>
          <cell r="AT12"/>
          <cell r="AU12">
            <v>3</v>
          </cell>
          <cell r="AV12"/>
          <cell r="AW12">
            <v>3</v>
          </cell>
          <cell r="AX12"/>
          <cell r="AY12">
            <v>3</v>
          </cell>
          <cell r="AZ12"/>
          <cell r="BA12">
            <v>3</v>
          </cell>
          <cell r="BB12"/>
          <cell r="BC12">
            <v>3</v>
          </cell>
          <cell r="BD12"/>
          <cell r="BE12">
            <v>3</v>
          </cell>
          <cell r="BF12"/>
          <cell r="BG12">
            <v>3</v>
          </cell>
          <cell r="BH12"/>
          <cell r="BI12">
            <v>3</v>
          </cell>
          <cell r="BJ12"/>
          <cell r="BK12">
            <v>3</v>
          </cell>
          <cell r="BL12"/>
          <cell r="BM12">
            <v>3</v>
          </cell>
          <cell r="BN12"/>
          <cell r="BO12"/>
          <cell r="BP12">
            <v>3</v>
          </cell>
          <cell r="BQ12"/>
          <cell r="BR12">
            <v>3</v>
          </cell>
          <cell r="BS12"/>
          <cell r="BT12">
            <v>3</v>
          </cell>
          <cell r="BU12"/>
          <cell r="BV12">
            <v>3</v>
          </cell>
          <cell r="BW12"/>
          <cell r="BX12">
            <v>3</v>
          </cell>
          <cell r="BY12"/>
          <cell r="BZ12">
            <v>3</v>
          </cell>
          <cell r="CA12"/>
          <cell r="CB12">
            <v>30</v>
          </cell>
          <cell r="CC12">
            <v>30</v>
          </cell>
          <cell r="CD12">
            <v>18</v>
          </cell>
          <cell r="CE12">
            <v>15</v>
          </cell>
          <cell r="CF12">
            <v>15</v>
          </cell>
          <cell r="CG12"/>
        </row>
        <row r="13">
          <cell r="B13">
            <v>4</v>
          </cell>
          <cell r="C13" t="str">
            <v>Tare Kampman</v>
          </cell>
          <cell r="D13" t="str">
            <v>m</v>
          </cell>
          <cell r="E13">
            <v>42937</v>
          </cell>
          <cell r="F13" t="str">
            <v>2a</v>
          </cell>
          <cell r="G13">
            <v>3</v>
          </cell>
          <cell r="H13"/>
          <cell r="I13">
            <v>3</v>
          </cell>
          <cell r="J13"/>
          <cell r="K13">
            <v>3</v>
          </cell>
          <cell r="L13"/>
          <cell r="M13">
            <v>3</v>
          </cell>
          <cell r="N13"/>
          <cell r="O13">
            <v>3</v>
          </cell>
          <cell r="P13"/>
          <cell r="Q13">
            <v>3</v>
          </cell>
          <cell r="R13"/>
          <cell r="S13">
            <v>3</v>
          </cell>
          <cell r="T13"/>
          <cell r="U13">
            <v>3</v>
          </cell>
          <cell r="V13"/>
          <cell r="W13">
            <v>3</v>
          </cell>
          <cell r="X13"/>
          <cell r="Y13">
            <v>3</v>
          </cell>
          <cell r="Z13"/>
          <cell r="AA13">
            <v>3</v>
          </cell>
          <cell r="AB13"/>
          <cell r="AC13">
            <v>3</v>
          </cell>
          <cell r="AD13"/>
          <cell r="AE13">
            <v>3</v>
          </cell>
          <cell r="AF13"/>
          <cell r="AG13">
            <v>3</v>
          </cell>
          <cell r="AH13"/>
          <cell r="AI13">
            <v>3</v>
          </cell>
          <cell r="AJ13"/>
          <cell r="AK13">
            <v>3</v>
          </cell>
          <cell r="AL13"/>
          <cell r="AM13">
            <v>3</v>
          </cell>
          <cell r="AN13"/>
          <cell r="AO13">
            <v>3</v>
          </cell>
          <cell r="AP13"/>
          <cell r="AQ13">
            <v>3</v>
          </cell>
          <cell r="AR13"/>
          <cell r="AS13">
            <v>3</v>
          </cell>
          <cell r="AT13"/>
          <cell r="AU13">
            <v>3</v>
          </cell>
          <cell r="AV13"/>
          <cell r="AW13">
            <v>3</v>
          </cell>
          <cell r="AX13"/>
          <cell r="AY13">
            <v>3</v>
          </cell>
          <cell r="AZ13"/>
          <cell r="BA13">
            <v>3</v>
          </cell>
          <cell r="BB13"/>
          <cell r="BC13">
            <v>3</v>
          </cell>
          <cell r="BD13"/>
          <cell r="BE13">
            <v>3</v>
          </cell>
          <cell r="BF13"/>
          <cell r="BG13">
            <v>3</v>
          </cell>
          <cell r="BH13"/>
          <cell r="BI13">
            <v>3</v>
          </cell>
          <cell r="BJ13"/>
          <cell r="BK13">
            <v>3</v>
          </cell>
          <cell r="BL13"/>
          <cell r="BM13">
            <v>3</v>
          </cell>
          <cell r="BN13"/>
          <cell r="BO13"/>
          <cell r="BP13">
            <v>3</v>
          </cell>
          <cell r="BQ13"/>
          <cell r="BR13">
            <v>3</v>
          </cell>
          <cell r="BS13"/>
          <cell r="BT13">
            <v>3</v>
          </cell>
          <cell r="BU13"/>
          <cell r="BV13">
            <v>3</v>
          </cell>
          <cell r="BW13"/>
          <cell r="BX13">
            <v>3</v>
          </cell>
          <cell r="BY13"/>
          <cell r="BZ13">
            <v>3</v>
          </cell>
          <cell r="CA13"/>
          <cell r="CB13">
            <v>30</v>
          </cell>
          <cell r="CC13">
            <v>30</v>
          </cell>
          <cell r="CD13">
            <v>18</v>
          </cell>
          <cell r="CE13">
            <v>15</v>
          </cell>
          <cell r="CF13">
            <v>15</v>
          </cell>
          <cell r="CG13"/>
        </row>
        <row r="14">
          <cell r="B14">
            <v>5</v>
          </cell>
          <cell r="C14" t="str">
            <v>Suze Koster</v>
          </cell>
          <cell r="D14" t="str">
            <v>m</v>
          </cell>
          <cell r="E14">
            <v>42810</v>
          </cell>
          <cell r="F14" t="str">
            <v>2a</v>
          </cell>
          <cell r="G14">
            <v>3</v>
          </cell>
          <cell r="H14"/>
          <cell r="I14">
            <v>2</v>
          </cell>
          <cell r="J14"/>
          <cell r="K14">
            <v>2</v>
          </cell>
          <cell r="L14"/>
          <cell r="M14">
            <v>3</v>
          </cell>
          <cell r="N14"/>
          <cell r="O14">
            <v>3</v>
          </cell>
          <cell r="P14"/>
          <cell r="Q14">
            <v>3</v>
          </cell>
          <cell r="R14"/>
          <cell r="S14">
            <v>2</v>
          </cell>
          <cell r="T14"/>
          <cell r="U14">
            <v>2</v>
          </cell>
          <cell r="V14"/>
          <cell r="W14">
            <v>3</v>
          </cell>
          <cell r="X14"/>
          <cell r="Y14">
            <v>2</v>
          </cell>
          <cell r="Z14" t="str">
            <v>Heeft moeite met inzicht en is onzeker</v>
          </cell>
          <cell r="AA14">
            <v>2</v>
          </cell>
          <cell r="AB14"/>
          <cell r="AC14">
            <v>3</v>
          </cell>
          <cell r="AD14"/>
          <cell r="AE14">
            <v>3</v>
          </cell>
          <cell r="AF14"/>
          <cell r="AG14">
            <v>3</v>
          </cell>
          <cell r="AH14"/>
          <cell r="AI14">
            <v>3</v>
          </cell>
          <cell r="AJ14"/>
          <cell r="AK14">
            <v>3</v>
          </cell>
          <cell r="AL14"/>
          <cell r="AM14">
            <v>3</v>
          </cell>
          <cell r="AN14"/>
          <cell r="AO14">
            <v>3</v>
          </cell>
          <cell r="AP14"/>
          <cell r="AQ14">
            <v>3</v>
          </cell>
          <cell r="AR14"/>
          <cell r="AS14">
            <v>3</v>
          </cell>
          <cell r="AT14"/>
          <cell r="AU14">
            <v>3</v>
          </cell>
          <cell r="AV14"/>
          <cell r="AW14">
            <v>3</v>
          </cell>
          <cell r="AX14"/>
          <cell r="AY14">
            <v>3</v>
          </cell>
          <cell r="AZ14"/>
          <cell r="BA14">
            <v>3</v>
          </cell>
          <cell r="BB14"/>
          <cell r="BC14">
            <v>3</v>
          </cell>
          <cell r="BD14"/>
          <cell r="BE14">
            <v>3</v>
          </cell>
          <cell r="BF14"/>
          <cell r="BG14">
            <v>3</v>
          </cell>
          <cell r="BH14"/>
          <cell r="BI14">
            <v>3</v>
          </cell>
          <cell r="BJ14"/>
          <cell r="BK14">
            <v>3</v>
          </cell>
          <cell r="BL14"/>
          <cell r="BM14">
            <v>3</v>
          </cell>
          <cell r="BN14"/>
          <cell r="BO14"/>
          <cell r="BP14">
            <v>3</v>
          </cell>
          <cell r="BQ14"/>
          <cell r="BR14">
            <v>3</v>
          </cell>
          <cell r="BS14"/>
          <cell r="BT14">
            <v>3</v>
          </cell>
          <cell r="BU14"/>
          <cell r="BV14">
            <v>3</v>
          </cell>
          <cell r="BW14"/>
          <cell r="BX14">
            <v>3</v>
          </cell>
          <cell r="BY14"/>
          <cell r="BZ14">
            <v>3</v>
          </cell>
          <cell r="CA14"/>
          <cell r="CB14">
            <v>25</v>
          </cell>
          <cell r="CC14">
            <v>29</v>
          </cell>
          <cell r="CD14">
            <v>18</v>
          </cell>
          <cell r="CE14">
            <v>15</v>
          </cell>
          <cell r="CF14">
            <v>15</v>
          </cell>
          <cell r="CG14"/>
        </row>
        <row r="15">
          <cell r="B15">
            <v>6</v>
          </cell>
          <cell r="C15" t="str">
            <v>Twan van Leeuwen</v>
          </cell>
          <cell r="D15" t="str">
            <v>j</v>
          </cell>
          <cell r="E15">
            <v>42693</v>
          </cell>
          <cell r="F15" t="str">
            <v>2a</v>
          </cell>
          <cell r="G15">
            <v>3</v>
          </cell>
          <cell r="H15"/>
          <cell r="I15">
            <v>3</v>
          </cell>
          <cell r="J15"/>
          <cell r="K15">
            <v>3</v>
          </cell>
          <cell r="L15"/>
          <cell r="M15">
            <v>3</v>
          </cell>
          <cell r="N15"/>
          <cell r="O15">
            <v>3</v>
          </cell>
          <cell r="P15"/>
          <cell r="Q15">
            <v>3</v>
          </cell>
          <cell r="R15"/>
          <cell r="S15">
            <v>3</v>
          </cell>
          <cell r="T15"/>
          <cell r="U15">
            <v>3</v>
          </cell>
          <cell r="V15"/>
          <cell r="W15">
            <v>3</v>
          </cell>
          <cell r="X15"/>
          <cell r="Y15">
            <v>3</v>
          </cell>
          <cell r="Z15"/>
          <cell r="AA15">
            <v>2</v>
          </cell>
          <cell r="AB15"/>
          <cell r="AC15">
            <v>3</v>
          </cell>
          <cell r="AD15"/>
          <cell r="AE15">
            <v>3</v>
          </cell>
          <cell r="AF15"/>
          <cell r="AG15">
            <v>3</v>
          </cell>
          <cell r="AH15"/>
          <cell r="AI15">
            <v>3</v>
          </cell>
          <cell r="AJ15"/>
          <cell r="AK15">
            <v>3</v>
          </cell>
          <cell r="AL15"/>
          <cell r="AM15">
            <v>3</v>
          </cell>
          <cell r="AN15"/>
          <cell r="AO15">
            <v>3</v>
          </cell>
          <cell r="AP15"/>
          <cell r="AQ15">
            <v>3</v>
          </cell>
          <cell r="AR15"/>
          <cell r="AS15">
            <v>3</v>
          </cell>
          <cell r="AT15"/>
          <cell r="AU15">
            <v>3</v>
          </cell>
          <cell r="AV15"/>
          <cell r="AW15">
            <v>3</v>
          </cell>
          <cell r="AX15"/>
          <cell r="AY15">
            <v>3</v>
          </cell>
          <cell r="AZ15"/>
          <cell r="BA15">
            <v>3</v>
          </cell>
          <cell r="BB15"/>
          <cell r="BC15">
            <v>3</v>
          </cell>
          <cell r="BD15"/>
          <cell r="BE15">
            <v>3</v>
          </cell>
          <cell r="BF15"/>
          <cell r="BG15">
            <v>3</v>
          </cell>
          <cell r="BH15"/>
          <cell r="BI15">
            <v>3</v>
          </cell>
          <cell r="BJ15"/>
          <cell r="BK15">
            <v>3</v>
          </cell>
          <cell r="BL15"/>
          <cell r="BM15">
            <v>3</v>
          </cell>
          <cell r="BN15"/>
          <cell r="BO15"/>
          <cell r="BP15">
            <v>3</v>
          </cell>
          <cell r="BQ15"/>
          <cell r="BR15">
            <v>3</v>
          </cell>
          <cell r="BS15"/>
          <cell r="BT15">
            <v>3</v>
          </cell>
          <cell r="BU15"/>
          <cell r="BV15">
            <v>3</v>
          </cell>
          <cell r="BW15"/>
          <cell r="BX15">
            <v>3</v>
          </cell>
          <cell r="BY15"/>
          <cell r="BZ15">
            <v>3</v>
          </cell>
          <cell r="CA15"/>
          <cell r="CB15">
            <v>30</v>
          </cell>
          <cell r="CC15">
            <v>29</v>
          </cell>
          <cell r="CD15">
            <v>18</v>
          </cell>
          <cell r="CE15">
            <v>15</v>
          </cell>
          <cell r="CF15">
            <v>15</v>
          </cell>
          <cell r="CG15"/>
        </row>
        <row r="16">
          <cell r="B16">
            <v>7</v>
          </cell>
          <cell r="C16" t="str">
            <v>Noa Makkinga</v>
          </cell>
          <cell r="D16" t="str">
            <v>m</v>
          </cell>
          <cell r="E16">
            <v>42896</v>
          </cell>
          <cell r="F16" t="str">
            <v>2a</v>
          </cell>
          <cell r="G16">
            <v>3</v>
          </cell>
          <cell r="H16"/>
          <cell r="I16">
            <v>2</v>
          </cell>
          <cell r="J16"/>
          <cell r="K16">
            <v>3</v>
          </cell>
          <cell r="L16"/>
          <cell r="M16">
            <v>3</v>
          </cell>
          <cell r="N16"/>
          <cell r="O16">
            <v>3</v>
          </cell>
          <cell r="P16"/>
          <cell r="Q16">
            <v>3</v>
          </cell>
          <cell r="R16"/>
          <cell r="S16">
            <v>3</v>
          </cell>
          <cell r="T16"/>
          <cell r="U16">
            <v>3</v>
          </cell>
          <cell r="V16"/>
          <cell r="W16">
            <v>3</v>
          </cell>
          <cell r="X16"/>
          <cell r="Y16">
            <v>3</v>
          </cell>
          <cell r="Z16"/>
          <cell r="AA16">
            <v>2</v>
          </cell>
          <cell r="AB16"/>
          <cell r="AC16">
            <v>3</v>
          </cell>
          <cell r="AD16"/>
          <cell r="AE16">
            <v>3</v>
          </cell>
          <cell r="AF16"/>
          <cell r="AG16">
            <v>3</v>
          </cell>
          <cell r="AH16"/>
          <cell r="AI16">
            <v>3</v>
          </cell>
          <cell r="AJ16"/>
          <cell r="AK16">
            <v>3</v>
          </cell>
          <cell r="AL16"/>
          <cell r="AM16">
            <v>3</v>
          </cell>
          <cell r="AN16"/>
          <cell r="AO16">
            <v>3</v>
          </cell>
          <cell r="AP16"/>
          <cell r="AQ16">
            <v>3</v>
          </cell>
          <cell r="AR16"/>
          <cell r="AS16">
            <v>3</v>
          </cell>
          <cell r="AT16"/>
          <cell r="AU16">
            <v>3</v>
          </cell>
          <cell r="AV16"/>
          <cell r="AW16">
            <v>3</v>
          </cell>
          <cell r="AX16"/>
          <cell r="AY16">
            <v>3</v>
          </cell>
          <cell r="AZ16"/>
          <cell r="BA16">
            <v>3</v>
          </cell>
          <cell r="BB16"/>
          <cell r="BC16">
            <v>3</v>
          </cell>
          <cell r="BD16"/>
          <cell r="BE16">
            <v>3</v>
          </cell>
          <cell r="BF16"/>
          <cell r="BG16">
            <v>3</v>
          </cell>
          <cell r="BH16"/>
          <cell r="BI16">
            <v>3</v>
          </cell>
          <cell r="BJ16"/>
          <cell r="BK16">
            <v>3</v>
          </cell>
          <cell r="BL16"/>
          <cell r="BM16">
            <v>3</v>
          </cell>
          <cell r="BN16"/>
          <cell r="BO16"/>
          <cell r="BP16">
            <v>3</v>
          </cell>
          <cell r="BQ16"/>
          <cell r="BR16">
            <v>3</v>
          </cell>
          <cell r="BS16"/>
          <cell r="BT16">
            <v>3</v>
          </cell>
          <cell r="BU16"/>
          <cell r="BV16">
            <v>3</v>
          </cell>
          <cell r="BW16"/>
          <cell r="BX16">
            <v>3</v>
          </cell>
          <cell r="BY16"/>
          <cell r="BZ16">
            <v>3</v>
          </cell>
          <cell r="CA16"/>
          <cell r="CB16">
            <v>29</v>
          </cell>
          <cell r="CC16">
            <v>29</v>
          </cell>
          <cell r="CD16">
            <v>18</v>
          </cell>
          <cell r="CE16">
            <v>15</v>
          </cell>
          <cell r="CF16">
            <v>15</v>
          </cell>
          <cell r="CG16"/>
        </row>
        <row r="17">
          <cell r="B17">
            <v>8</v>
          </cell>
          <cell r="C17" t="str">
            <v>Ryan Wieland</v>
          </cell>
          <cell r="D17" t="str">
            <v>j</v>
          </cell>
          <cell r="E17">
            <v>42704</v>
          </cell>
          <cell r="F17" t="str">
            <v>2a</v>
          </cell>
          <cell r="G17">
            <v>3</v>
          </cell>
          <cell r="H17"/>
          <cell r="I17">
            <v>2</v>
          </cell>
          <cell r="J17"/>
          <cell r="K17">
            <v>3</v>
          </cell>
          <cell r="L17"/>
          <cell r="M17">
            <v>3</v>
          </cell>
          <cell r="N17"/>
          <cell r="O17">
            <v>3</v>
          </cell>
          <cell r="P17"/>
          <cell r="Q17">
            <v>2</v>
          </cell>
          <cell r="R17"/>
          <cell r="S17">
            <v>2</v>
          </cell>
          <cell r="T17"/>
          <cell r="U17">
            <v>2</v>
          </cell>
          <cell r="V17"/>
          <cell r="W17">
            <v>2</v>
          </cell>
          <cell r="X17"/>
          <cell r="Y17">
            <v>2</v>
          </cell>
          <cell r="Z17"/>
          <cell r="AA17">
            <v>2</v>
          </cell>
          <cell r="AB17"/>
          <cell r="AC17">
            <v>3</v>
          </cell>
          <cell r="AD17"/>
          <cell r="AE17">
            <v>3</v>
          </cell>
          <cell r="AF17"/>
          <cell r="AG17">
            <v>3</v>
          </cell>
          <cell r="AH17"/>
          <cell r="AI17">
            <v>3</v>
          </cell>
          <cell r="AJ17"/>
          <cell r="AK17">
            <v>2</v>
          </cell>
          <cell r="AL17"/>
          <cell r="AM17">
            <v>3</v>
          </cell>
          <cell r="AN17"/>
          <cell r="AO17">
            <v>3</v>
          </cell>
          <cell r="AP17"/>
          <cell r="AQ17">
            <v>2</v>
          </cell>
          <cell r="AR17"/>
          <cell r="AS17">
            <v>2</v>
          </cell>
          <cell r="AT17"/>
          <cell r="AU17">
            <v>3</v>
          </cell>
          <cell r="AV17"/>
          <cell r="AW17">
            <v>3</v>
          </cell>
          <cell r="AX17"/>
          <cell r="AY17">
            <v>3</v>
          </cell>
          <cell r="AZ17"/>
          <cell r="BA17">
            <v>3</v>
          </cell>
          <cell r="BB17"/>
          <cell r="BC17">
            <v>3</v>
          </cell>
          <cell r="BD17"/>
          <cell r="BE17">
            <v>3</v>
          </cell>
          <cell r="BF17"/>
          <cell r="BG17">
            <v>3</v>
          </cell>
          <cell r="BH17"/>
          <cell r="BI17">
            <v>3</v>
          </cell>
          <cell r="BJ17"/>
          <cell r="BK17">
            <v>3</v>
          </cell>
          <cell r="BL17"/>
          <cell r="BM17">
            <v>3</v>
          </cell>
          <cell r="BN17"/>
          <cell r="BO17"/>
          <cell r="BP17">
            <v>3</v>
          </cell>
          <cell r="BQ17"/>
          <cell r="BR17">
            <v>3</v>
          </cell>
          <cell r="BS17"/>
          <cell r="BT17">
            <v>3</v>
          </cell>
          <cell r="BU17"/>
          <cell r="BV17">
            <v>3</v>
          </cell>
          <cell r="BW17"/>
          <cell r="BX17">
            <v>3</v>
          </cell>
          <cell r="BY17"/>
          <cell r="BZ17">
            <v>3</v>
          </cell>
          <cell r="CA17"/>
          <cell r="CB17">
            <v>24</v>
          </cell>
          <cell r="CC17">
            <v>26</v>
          </cell>
          <cell r="CD17">
            <v>18</v>
          </cell>
          <cell r="CE17">
            <v>15</v>
          </cell>
          <cell r="CF17">
            <v>15</v>
          </cell>
          <cell r="CG17"/>
        </row>
        <row r="18">
          <cell r="B18">
            <v>9</v>
          </cell>
          <cell r="C18" t="str">
            <v>Fiene Willems</v>
          </cell>
          <cell r="D18" t="str">
            <v>m</v>
          </cell>
          <cell r="E18">
            <v>42547</v>
          </cell>
          <cell r="F18" t="str">
            <v>2a</v>
          </cell>
          <cell r="G18">
            <v>3</v>
          </cell>
          <cell r="H18"/>
          <cell r="I18">
            <v>2</v>
          </cell>
          <cell r="J18"/>
          <cell r="K18">
            <v>3</v>
          </cell>
          <cell r="L18"/>
          <cell r="M18">
            <v>3</v>
          </cell>
          <cell r="N18"/>
          <cell r="O18">
            <v>3</v>
          </cell>
          <cell r="P18"/>
          <cell r="Q18">
            <v>3</v>
          </cell>
          <cell r="R18"/>
          <cell r="S18">
            <v>2</v>
          </cell>
          <cell r="T18"/>
          <cell r="U18">
            <v>3</v>
          </cell>
          <cell r="V18"/>
          <cell r="W18">
            <v>3</v>
          </cell>
          <cell r="X18"/>
          <cell r="Y18">
            <v>3</v>
          </cell>
          <cell r="Z18"/>
          <cell r="AA18">
            <v>2</v>
          </cell>
          <cell r="AB18"/>
          <cell r="AC18">
            <v>3</v>
          </cell>
          <cell r="AD18"/>
          <cell r="AE18">
            <v>3</v>
          </cell>
          <cell r="AF18"/>
          <cell r="AG18">
            <v>3</v>
          </cell>
          <cell r="AH18"/>
          <cell r="AI18">
            <v>3</v>
          </cell>
          <cell r="AJ18"/>
          <cell r="AK18">
            <v>3</v>
          </cell>
          <cell r="AL18"/>
          <cell r="AM18">
            <v>3</v>
          </cell>
          <cell r="AN18"/>
          <cell r="AO18">
            <v>3</v>
          </cell>
          <cell r="AP18"/>
          <cell r="AQ18">
            <v>3</v>
          </cell>
          <cell r="AR18"/>
          <cell r="AS18">
            <v>3</v>
          </cell>
          <cell r="AT18"/>
          <cell r="AU18">
            <v>3</v>
          </cell>
          <cell r="AV18"/>
          <cell r="AW18">
            <v>3</v>
          </cell>
          <cell r="AX18"/>
          <cell r="AY18">
            <v>3</v>
          </cell>
          <cell r="AZ18"/>
          <cell r="BA18">
            <v>3</v>
          </cell>
          <cell r="BB18"/>
          <cell r="BC18">
            <v>3</v>
          </cell>
          <cell r="BD18"/>
          <cell r="BE18">
            <v>3</v>
          </cell>
          <cell r="BF18"/>
          <cell r="BG18">
            <v>3</v>
          </cell>
          <cell r="BH18"/>
          <cell r="BI18">
            <v>3</v>
          </cell>
          <cell r="BJ18"/>
          <cell r="BK18">
            <v>3</v>
          </cell>
          <cell r="BL18"/>
          <cell r="BM18">
            <v>3</v>
          </cell>
          <cell r="BN18"/>
          <cell r="BO18"/>
          <cell r="BP18">
            <v>3</v>
          </cell>
          <cell r="BQ18"/>
          <cell r="BR18">
            <v>3</v>
          </cell>
          <cell r="BS18"/>
          <cell r="BT18">
            <v>3</v>
          </cell>
          <cell r="BU18"/>
          <cell r="BV18">
            <v>3</v>
          </cell>
          <cell r="BW18"/>
          <cell r="BX18">
            <v>3</v>
          </cell>
          <cell r="BY18"/>
          <cell r="BZ18">
            <v>3</v>
          </cell>
          <cell r="CA18"/>
          <cell r="CB18">
            <v>28</v>
          </cell>
          <cell r="CC18">
            <v>29</v>
          </cell>
          <cell r="CD18">
            <v>18</v>
          </cell>
          <cell r="CE18">
            <v>15</v>
          </cell>
          <cell r="CF18">
            <v>15</v>
          </cell>
          <cell r="CG18"/>
        </row>
        <row r="19">
          <cell r="B19">
            <v>10</v>
          </cell>
          <cell r="C19" t="str">
            <v>Stijn Roelofs</v>
          </cell>
          <cell r="D19" t="str">
            <v>j</v>
          </cell>
          <cell r="E19">
            <v>42902</v>
          </cell>
          <cell r="F19" t="str">
            <v>2a</v>
          </cell>
          <cell r="G19">
            <v>3</v>
          </cell>
          <cell r="H19"/>
          <cell r="I19">
            <v>2</v>
          </cell>
          <cell r="J19"/>
          <cell r="K19">
            <v>3</v>
          </cell>
          <cell r="L19"/>
          <cell r="M19">
            <v>3</v>
          </cell>
          <cell r="N19"/>
          <cell r="O19">
            <v>2</v>
          </cell>
          <cell r="P19"/>
          <cell r="Q19">
            <v>2</v>
          </cell>
          <cell r="R19"/>
          <cell r="S19">
            <v>2</v>
          </cell>
          <cell r="T19"/>
          <cell r="U19">
            <v>3</v>
          </cell>
          <cell r="V19"/>
          <cell r="W19">
            <v>3</v>
          </cell>
          <cell r="X19"/>
          <cell r="Y19">
            <v>2</v>
          </cell>
          <cell r="Z19" t="str">
            <v>Wisselend resultaat. Kan soms meer dan hij laat zien of andersom.</v>
          </cell>
          <cell r="AA19">
            <v>1</v>
          </cell>
          <cell r="AB19" t="str">
            <v>Vergeet bijna altijd de laatste letters van zijn naam. Geeft dan aan dat hij niet meer weet hoe deze letters eruit zien.</v>
          </cell>
          <cell r="AC19">
            <v>3</v>
          </cell>
          <cell r="AD19"/>
          <cell r="AE19">
            <v>3</v>
          </cell>
          <cell r="AF19"/>
          <cell r="AG19">
            <v>3</v>
          </cell>
          <cell r="AH19"/>
          <cell r="AI19">
            <v>3</v>
          </cell>
          <cell r="AJ19"/>
          <cell r="AK19">
            <v>2</v>
          </cell>
          <cell r="AL19"/>
          <cell r="AM19">
            <v>3</v>
          </cell>
          <cell r="AN19"/>
          <cell r="AO19">
            <v>3</v>
          </cell>
          <cell r="AP19"/>
          <cell r="AQ19">
            <v>3</v>
          </cell>
          <cell r="AR19"/>
          <cell r="AS19">
            <v>2</v>
          </cell>
          <cell r="AT19" t="str">
            <v>Houdt niet over. Heeft flinke groei laten zien en is leerbaar.</v>
          </cell>
          <cell r="AU19">
            <v>3</v>
          </cell>
          <cell r="AV19"/>
          <cell r="AW19">
            <v>3</v>
          </cell>
          <cell r="AX19"/>
          <cell r="AY19">
            <v>3</v>
          </cell>
          <cell r="AZ19"/>
          <cell r="BA19">
            <v>3</v>
          </cell>
          <cell r="BB19"/>
          <cell r="BC19">
            <v>3</v>
          </cell>
          <cell r="BD19"/>
          <cell r="BE19">
            <v>3</v>
          </cell>
          <cell r="BF19"/>
          <cell r="BG19">
            <v>3</v>
          </cell>
          <cell r="BH19"/>
          <cell r="BI19">
            <v>3</v>
          </cell>
          <cell r="BJ19"/>
          <cell r="BK19">
            <v>3</v>
          </cell>
          <cell r="BL19"/>
          <cell r="BM19">
            <v>3</v>
          </cell>
          <cell r="BN19"/>
          <cell r="BO19"/>
          <cell r="BP19">
            <v>3</v>
          </cell>
          <cell r="BQ19"/>
          <cell r="BR19">
            <v>3</v>
          </cell>
          <cell r="BS19"/>
          <cell r="BT19">
            <v>3</v>
          </cell>
          <cell r="BU19"/>
          <cell r="BV19">
            <v>3</v>
          </cell>
          <cell r="BW19"/>
          <cell r="BX19">
            <v>3</v>
          </cell>
          <cell r="BY19"/>
          <cell r="BZ19">
            <v>3</v>
          </cell>
          <cell r="CA19"/>
          <cell r="CB19">
            <v>25</v>
          </cell>
          <cell r="CC19">
            <v>26</v>
          </cell>
          <cell r="CD19">
            <v>18</v>
          </cell>
          <cell r="CE19">
            <v>15</v>
          </cell>
          <cell r="CF19">
            <v>15</v>
          </cell>
          <cell r="CG19" t="str">
            <v>De verwachting is dat Stijn het wel moeilijk zal gaan vinden in groep 3.</v>
          </cell>
        </row>
        <row r="20">
          <cell r="B20">
            <v>11</v>
          </cell>
          <cell r="C20">
            <v>0</v>
          </cell>
          <cell r="D20">
            <v>0</v>
          </cell>
          <cell r="E20">
            <v>0</v>
          </cell>
          <cell r="F20" t="str">
            <v>2a</v>
          </cell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/>
          <cell r="BZ20"/>
          <cell r="CA20"/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/>
        </row>
        <row r="21">
          <cell r="B21">
            <v>12</v>
          </cell>
          <cell r="C21">
            <v>0</v>
          </cell>
          <cell r="D21">
            <v>0</v>
          </cell>
          <cell r="E21">
            <v>0</v>
          </cell>
          <cell r="F21" t="str">
            <v>2a</v>
          </cell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BZ21"/>
          <cell r="CA21"/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/>
        </row>
        <row r="22">
          <cell r="B22">
            <v>13</v>
          </cell>
          <cell r="C22">
            <v>0</v>
          </cell>
          <cell r="D22">
            <v>0</v>
          </cell>
          <cell r="E22">
            <v>0</v>
          </cell>
          <cell r="F22" t="str">
            <v>2a</v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BZ22"/>
          <cell r="CA22"/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/>
        </row>
        <row r="23">
          <cell r="B23">
            <v>14</v>
          </cell>
          <cell r="C23">
            <v>0</v>
          </cell>
          <cell r="D23">
            <v>0</v>
          </cell>
          <cell r="E23">
            <v>0</v>
          </cell>
          <cell r="F23" t="str">
            <v>2a</v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/>
          <cell r="BZ23"/>
          <cell r="CA23"/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/>
        </row>
        <row r="24">
          <cell r="B24">
            <v>15</v>
          </cell>
          <cell r="C24">
            <v>0</v>
          </cell>
          <cell r="D24">
            <v>0</v>
          </cell>
          <cell r="E24">
            <v>0</v>
          </cell>
          <cell r="F24" t="str">
            <v>2a</v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/>
        </row>
        <row r="25">
          <cell r="B25">
            <v>16</v>
          </cell>
          <cell r="C25">
            <v>0</v>
          </cell>
          <cell r="D25">
            <v>0</v>
          </cell>
          <cell r="E25">
            <v>0</v>
          </cell>
          <cell r="F25" t="str">
            <v>2a</v>
          </cell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/>
          <cell r="BZ25"/>
          <cell r="CA25"/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/>
        </row>
        <row r="26">
          <cell r="B26">
            <v>17</v>
          </cell>
          <cell r="C26">
            <v>0</v>
          </cell>
          <cell r="D26">
            <v>0</v>
          </cell>
          <cell r="E26">
            <v>0</v>
          </cell>
          <cell r="F26" t="str">
            <v>2a</v>
          </cell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/>
          <cell r="BZ26"/>
          <cell r="CA26"/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/>
        </row>
        <row r="27">
          <cell r="B27">
            <v>18</v>
          </cell>
          <cell r="C27">
            <v>0</v>
          </cell>
          <cell r="D27">
            <v>0</v>
          </cell>
          <cell r="E27">
            <v>0</v>
          </cell>
          <cell r="F27" t="str">
            <v>2a</v>
          </cell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/>
          <cell r="BZ27"/>
          <cell r="CA27"/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/>
        </row>
        <row r="28">
          <cell r="B28">
            <v>19</v>
          </cell>
          <cell r="C28">
            <v>0</v>
          </cell>
          <cell r="D28">
            <v>0</v>
          </cell>
          <cell r="E28">
            <v>0</v>
          </cell>
          <cell r="F28" t="str">
            <v>2a</v>
          </cell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/>
          <cell r="BU28"/>
          <cell r="BV28"/>
          <cell r="BW28"/>
          <cell r="BX28"/>
          <cell r="BY28"/>
          <cell r="BZ28"/>
          <cell r="CA28"/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/>
        </row>
        <row r="29">
          <cell r="B29">
            <v>20</v>
          </cell>
          <cell r="C29">
            <v>0</v>
          </cell>
          <cell r="D29">
            <v>0</v>
          </cell>
          <cell r="E29">
            <v>0</v>
          </cell>
          <cell r="F29" t="str">
            <v>2a</v>
          </cell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/>
          <cell r="BZ29"/>
          <cell r="CA29"/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/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Q38"/>
  <sheetViews>
    <sheetView showGridLines="0" showRowColHeaders="0" zoomScale="90" zoomScaleNormal="90" workbookViewId="0">
      <selection activeCell="C14" sqref="C14"/>
    </sheetView>
  </sheetViews>
  <sheetFormatPr defaultRowHeight="12.5" x14ac:dyDescent="0.25"/>
  <cols>
    <col min="2" max="2" width="4.1796875" bestFit="1" customWidth="1"/>
    <col min="3" max="3" width="43.7265625" customWidth="1"/>
    <col min="4" max="4" width="3.81640625" bestFit="1" customWidth="1"/>
    <col min="5" max="5" width="16.7265625" bestFit="1" customWidth="1"/>
    <col min="6" max="6" width="8.7265625" bestFit="1" customWidth="1"/>
  </cols>
  <sheetData>
    <row r="2" spans="2:17" ht="13" thickBot="1" x14ac:dyDescent="0.3"/>
    <row r="3" spans="2:17" ht="16" thickTop="1" x14ac:dyDescent="0.35">
      <c r="B3" s="35"/>
      <c r="C3" s="36" t="s">
        <v>0</v>
      </c>
      <c r="D3" s="36" t="s">
        <v>1</v>
      </c>
      <c r="E3" s="36" t="s">
        <v>2</v>
      </c>
      <c r="F3" s="37" t="s">
        <v>3</v>
      </c>
    </row>
    <row r="4" spans="2:17" ht="15.5" x14ac:dyDescent="0.35">
      <c r="B4" s="38">
        <v>1</v>
      </c>
      <c r="C4" s="39" t="s">
        <v>116</v>
      </c>
      <c r="D4" s="40" t="s">
        <v>4</v>
      </c>
      <c r="E4" s="161">
        <v>43008</v>
      </c>
      <c r="F4" s="233">
        <v>2</v>
      </c>
    </row>
    <row r="5" spans="2:17" ht="16" thickBot="1" x14ac:dyDescent="0.4">
      <c r="B5" s="38">
        <v>2</v>
      </c>
      <c r="C5" s="39" t="s">
        <v>115</v>
      </c>
      <c r="D5" s="40" t="s">
        <v>4</v>
      </c>
      <c r="E5" s="161">
        <v>42892</v>
      </c>
      <c r="F5" s="234">
        <f>F$4</f>
        <v>2</v>
      </c>
    </row>
    <row r="6" spans="2:17" ht="19" thickTop="1" x14ac:dyDescent="0.35">
      <c r="B6" s="38">
        <v>3</v>
      </c>
      <c r="C6" s="39" t="s">
        <v>117</v>
      </c>
      <c r="D6" s="40" t="s">
        <v>5</v>
      </c>
      <c r="E6" s="161">
        <v>42892</v>
      </c>
      <c r="F6" s="234">
        <f t="shared" ref="F6:F23" si="0">F$4</f>
        <v>2</v>
      </c>
      <c r="H6" s="249" t="s">
        <v>6</v>
      </c>
      <c r="I6" s="250"/>
      <c r="J6" s="250"/>
      <c r="K6" s="250"/>
      <c r="L6" s="250"/>
      <c r="M6" s="250"/>
      <c r="N6" s="250"/>
      <c r="O6" s="250"/>
      <c r="P6" s="250"/>
      <c r="Q6" s="251"/>
    </row>
    <row r="7" spans="2:17" ht="15.5" x14ac:dyDescent="0.35">
      <c r="B7" s="38">
        <v>4</v>
      </c>
      <c r="C7" s="39"/>
      <c r="D7" s="40"/>
      <c r="E7" s="161"/>
      <c r="F7" s="234"/>
      <c r="H7" s="142" t="s">
        <v>7</v>
      </c>
      <c r="I7" s="133"/>
      <c r="J7" s="133"/>
      <c r="K7" s="133"/>
      <c r="L7" s="133"/>
      <c r="M7" s="133"/>
      <c r="N7" s="133"/>
      <c r="O7" s="133"/>
      <c r="P7" s="133"/>
      <c r="Q7" s="143"/>
    </row>
    <row r="8" spans="2:17" ht="15.5" x14ac:dyDescent="0.35">
      <c r="B8" s="38">
        <v>5</v>
      </c>
      <c r="C8" s="39"/>
      <c r="D8" s="40"/>
      <c r="E8" s="161"/>
      <c r="F8" s="234"/>
      <c r="H8" s="144" t="s">
        <v>8</v>
      </c>
      <c r="I8" s="134"/>
      <c r="J8" s="134"/>
      <c r="K8" s="134"/>
      <c r="L8" s="134"/>
      <c r="M8" s="134"/>
      <c r="N8" s="134"/>
      <c r="O8" s="134"/>
      <c r="P8" s="134"/>
      <c r="Q8" s="145"/>
    </row>
    <row r="9" spans="2:17" ht="15.5" x14ac:dyDescent="0.35">
      <c r="B9" s="38">
        <v>6</v>
      </c>
      <c r="C9" s="39"/>
      <c r="D9" s="40"/>
      <c r="E9" s="161"/>
      <c r="F9" s="234"/>
      <c r="H9" s="146" t="s">
        <v>9</v>
      </c>
      <c r="I9" s="135"/>
      <c r="J9" s="135"/>
      <c r="K9" s="135"/>
      <c r="L9" s="135"/>
      <c r="M9" s="135"/>
      <c r="N9" s="135"/>
      <c r="O9" s="135"/>
      <c r="P9" s="135"/>
      <c r="Q9" s="147"/>
    </row>
    <row r="10" spans="2:17" ht="15.5" x14ac:dyDescent="0.35">
      <c r="B10" s="38">
        <v>7</v>
      </c>
      <c r="C10" s="39"/>
      <c r="D10" s="40"/>
      <c r="E10" s="161"/>
      <c r="F10" s="234"/>
      <c r="H10" s="148" t="s">
        <v>10</v>
      </c>
      <c r="I10" s="133"/>
      <c r="J10" s="133"/>
      <c r="K10" s="133"/>
      <c r="L10" s="133"/>
      <c r="M10" s="133"/>
      <c r="N10" s="133"/>
      <c r="O10" s="133"/>
      <c r="P10" s="133"/>
      <c r="Q10" s="143"/>
    </row>
    <row r="11" spans="2:17" ht="15.5" x14ac:dyDescent="0.35">
      <c r="B11" s="38">
        <v>8</v>
      </c>
      <c r="C11" s="39"/>
      <c r="D11" s="40"/>
      <c r="E11" s="161"/>
      <c r="F11" s="234"/>
      <c r="H11" s="149" t="s">
        <v>11</v>
      </c>
      <c r="I11" s="136"/>
      <c r="J11" s="136"/>
      <c r="K11" s="136"/>
      <c r="L11" s="136"/>
      <c r="M11" s="136"/>
      <c r="N11" s="136"/>
      <c r="O11" s="136"/>
      <c r="P11" s="136"/>
      <c r="Q11" s="150"/>
    </row>
    <row r="12" spans="2:17" ht="15.5" x14ac:dyDescent="0.35">
      <c r="B12" s="38">
        <v>9</v>
      </c>
      <c r="C12" s="39"/>
      <c r="D12" s="40"/>
      <c r="E12" s="161"/>
      <c r="F12" s="234">
        <f t="shared" si="0"/>
        <v>2</v>
      </c>
      <c r="H12" s="151" t="s">
        <v>12</v>
      </c>
      <c r="I12" s="137"/>
      <c r="J12" s="137"/>
      <c r="K12" s="137"/>
      <c r="L12" s="137"/>
      <c r="M12" s="137"/>
      <c r="N12" s="137"/>
      <c r="O12" s="137"/>
      <c r="P12" s="137"/>
      <c r="Q12" s="152"/>
    </row>
    <row r="13" spans="2:17" ht="15.5" x14ac:dyDescent="0.35">
      <c r="B13" s="38">
        <v>10</v>
      </c>
      <c r="C13" s="39"/>
      <c r="D13" s="40"/>
      <c r="E13" s="161"/>
      <c r="F13" s="234">
        <f t="shared" si="0"/>
        <v>2</v>
      </c>
      <c r="H13" s="148"/>
      <c r="I13" s="133"/>
      <c r="J13" s="133"/>
      <c r="K13" s="133"/>
      <c r="L13" s="133"/>
      <c r="M13" s="133"/>
      <c r="N13" s="133"/>
      <c r="O13" s="133"/>
      <c r="P13" s="133"/>
      <c r="Q13" s="143"/>
    </row>
    <row r="14" spans="2:17" ht="15.5" x14ac:dyDescent="0.35">
      <c r="B14" s="38">
        <v>11</v>
      </c>
      <c r="C14" s="39"/>
      <c r="D14" s="40"/>
      <c r="E14" s="161"/>
      <c r="F14" s="234">
        <f t="shared" si="0"/>
        <v>2</v>
      </c>
      <c r="H14" s="148" t="s">
        <v>13</v>
      </c>
      <c r="I14" s="133"/>
      <c r="J14" s="133"/>
      <c r="K14" s="133"/>
      <c r="L14" s="133"/>
      <c r="M14" s="133"/>
      <c r="N14" s="133"/>
      <c r="O14" s="133"/>
      <c r="P14" s="133"/>
      <c r="Q14" s="143"/>
    </row>
    <row r="15" spans="2:17" ht="15.5" x14ac:dyDescent="0.35">
      <c r="B15" s="38">
        <v>12</v>
      </c>
      <c r="C15" s="39"/>
      <c r="D15" s="40"/>
      <c r="E15" s="161"/>
      <c r="F15" s="234">
        <f t="shared" si="0"/>
        <v>2</v>
      </c>
      <c r="H15" s="153" t="s">
        <v>14</v>
      </c>
      <c r="I15" s="138"/>
      <c r="J15" s="138"/>
      <c r="K15" s="138"/>
      <c r="L15" s="138"/>
      <c r="M15" s="138"/>
      <c r="N15" s="138"/>
      <c r="O15" s="138"/>
      <c r="P15" s="138"/>
      <c r="Q15" s="154"/>
    </row>
    <row r="16" spans="2:17" ht="15.5" x14ac:dyDescent="0.35">
      <c r="B16" s="38">
        <v>13</v>
      </c>
      <c r="C16" s="39"/>
      <c r="D16" s="40"/>
      <c r="E16" s="161"/>
      <c r="F16" s="234">
        <f t="shared" si="0"/>
        <v>2</v>
      </c>
      <c r="H16" s="155" t="s">
        <v>15</v>
      </c>
      <c r="I16" s="139"/>
      <c r="J16" s="139"/>
      <c r="K16" s="139"/>
      <c r="L16" s="139"/>
      <c r="M16" s="139"/>
      <c r="N16" s="139"/>
      <c r="O16" s="139"/>
      <c r="P16" s="139"/>
      <c r="Q16" s="156"/>
    </row>
    <row r="17" spans="2:17" ht="15.5" x14ac:dyDescent="0.35">
      <c r="B17" s="38">
        <v>14</v>
      </c>
      <c r="C17" s="39"/>
      <c r="D17" s="40"/>
      <c r="E17" s="161"/>
      <c r="F17" s="234">
        <f t="shared" si="0"/>
        <v>2</v>
      </c>
      <c r="H17" s="157" t="s">
        <v>16</v>
      </c>
      <c r="I17" s="140"/>
      <c r="J17" s="140"/>
      <c r="K17" s="140"/>
      <c r="L17" s="140"/>
      <c r="M17" s="140"/>
      <c r="N17" s="140"/>
      <c r="O17" s="140"/>
      <c r="P17" s="140"/>
      <c r="Q17" s="158"/>
    </row>
    <row r="18" spans="2:17" ht="15.5" x14ac:dyDescent="0.35">
      <c r="B18" s="38">
        <v>15</v>
      </c>
      <c r="C18" s="39"/>
      <c r="D18" s="40"/>
      <c r="E18" s="161"/>
      <c r="F18" s="234">
        <f t="shared" si="0"/>
        <v>2</v>
      </c>
      <c r="H18" s="159"/>
      <c r="I18" s="141"/>
      <c r="J18" s="141"/>
      <c r="K18" s="141"/>
      <c r="L18" s="141"/>
      <c r="M18" s="141"/>
      <c r="N18" s="141"/>
      <c r="O18" s="141"/>
      <c r="P18" s="141"/>
      <c r="Q18" s="160"/>
    </row>
    <row r="19" spans="2:17" ht="15.5" x14ac:dyDescent="0.35">
      <c r="B19" s="38">
        <v>16</v>
      </c>
      <c r="C19" s="39"/>
      <c r="D19" s="40"/>
      <c r="E19" s="161"/>
      <c r="F19" s="234">
        <f t="shared" si="0"/>
        <v>2</v>
      </c>
      <c r="H19" s="148"/>
      <c r="I19" s="133"/>
      <c r="J19" s="133"/>
      <c r="K19" s="133"/>
      <c r="L19" s="133"/>
      <c r="M19" s="133"/>
      <c r="N19" s="133"/>
      <c r="O19" s="133"/>
      <c r="P19" s="133"/>
      <c r="Q19" s="143"/>
    </row>
    <row r="20" spans="2:17" ht="15.5" x14ac:dyDescent="0.35">
      <c r="B20" s="38">
        <v>17</v>
      </c>
      <c r="C20" s="39"/>
      <c r="D20" s="40"/>
      <c r="E20" s="161"/>
      <c r="F20" s="234">
        <f t="shared" si="0"/>
        <v>2</v>
      </c>
      <c r="H20" s="148"/>
      <c r="I20" s="133"/>
      <c r="J20" s="133"/>
      <c r="K20" s="133"/>
      <c r="L20" s="133"/>
      <c r="M20" s="133"/>
      <c r="N20" s="133"/>
      <c r="O20" s="133"/>
      <c r="P20" s="133"/>
      <c r="Q20" s="143"/>
    </row>
    <row r="21" spans="2:17" ht="15.5" x14ac:dyDescent="0.35">
      <c r="B21" s="38">
        <v>18</v>
      </c>
      <c r="C21" s="39"/>
      <c r="D21" s="40"/>
      <c r="E21" s="161"/>
      <c r="F21" s="234">
        <f t="shared" si="0"/>
        <v>2</v>
      </c>
      <c r="H21" s="148"/>
      <c r="I21" s="133"/>
      <c r="J21" s="133"/>
      <c r="K21" s="133"/>
      <c r="L21" s="133"/>
      <c r="M21" s="133"/>
      <c r="N21" s="133"/>
      <c r="O21" s="133"/>
      <c r="P21" s="133"/>
      <c r="Q21" s="143"/>
    </row>
    <row r="22" spans="2:17" ht="15.5" x14ac:dyDescent="0.35">
      <c r="B22" s="38">
        <v>19</v>
      </c>
      <c r="C22" s="39"/>
      <c r="D22" s="40"/>
      <c r="E22" s="161"/>
      <c r="F22" s="234">
        <f t="shared" si="0"/>
        <v>2</v>
      </c>
      <c r="H22" s="148"/>
      <c r="I22" s="133"/>
      <c r="J22" s="133"/>
      <c r="K22" s="133"/>
      <c r="L22" s="133"/>
      <c r="M22" s="133"/>
      <c r="N22" s="133"/>
      <c r="O22" s="133"/>
      <c r="P22" s="133"/>
      <c r="Q22" s="143"/>
    </row>
    <row r="23" spans="2:17" ht="16" thickBot="1" x14ac:dyDescent="0.4">
      <c r="B23" s="41">
        <v>20</v>
      </c>
      <c r="C23" s="42"/>
      <c r="D23" s="43"/>
      <c r="E23" s="162"/>
      <c r="F23" s="235">
        <f t="shared" si="0"/>
        <v>2</v>
      </c>
      <c r="H23" s="253"/>
      <c r="I23" s="254"/>
      <c r="J23" s="254"/>
      <c r="K23" s="254"/>
      <c r="L23" s="254"/>
      <c r="M23" s="254"/>
      <c r="N23" s="254"/>
      <c r="O23" s="254"/>
      <c r="P23" s="254"/>
      <c r="Q23" s="255"/>
    </row>
    <row r="24" spans="2:17" ht="13.5" thickTop="1" x14ac:dyDescent="0.25">
      <c r="B24" s="13"/>
      <c r="C24" s="14"/>
      <c r="D24" s="14"/>
      <c r="E24" s="15"/>
      <c r="F24" s="15"/>
      <c r="H24" s="252"/>
      <c r="I24" s="252"/>
      <c r="J24" s="252"/>
      <c r="K24" s="252"/>
      <c r="L24" s="252"/>
      <c r="M24" s="252"/>
      <c r="N24" s="252"/>
      <c r="O24" s="252"/>
      <c r="P24" s="252"/>
      <c r="Q24" s="252"/>
    </row>
    <row r="25" spans="2:17" ht="13" x14ac:dyDescent="0.25">
      <c r="B25" s="13"/>
      <c r="C25" s="14"/>
      <c r="D25" s="14"/>
      <c r="E25" s="15"/>
      <c r="F25" s="15"/>
      <c r="H25" s="252"/>
      <c r="I25" s="252"/>
      <c r="J25" s="252"/>
      <c r="K25" s="252"/>
      <c r="L25" s="252"/>
      <c r="M25" s="252"/>
      <c r="N25" s="252"/>
      <c r="O25" s="252"/>
      <c r="P25" s="252"/>
      <c r="Q25" s="252"/>
    </row>
    <row r="26" spans="2:17" x14ac:dyDescent="0.25">
      <c r="B26" s="13"/>
      <c r="C26" s="14"/>
      <c r="D26" s="14"/>
      <c r="E26" s="15"/>
      <c r="F26" s="15"/>
    </row>
    <row r="27" spans="2:17" x14ac:dyDescent="0.25">
      <c r="B27" s="13"/>
      <c r="C27" s="14"/>
      <c r="D27" s="14"/>
      <c r="E27" s="15"/>
      <c r="F27" s="15"/>
    </row>
    <row r="28" spans="2:17" x14ac:dyDescent="0.25">
      <c r="B28" s="13"/>
      <c r="C28" s="14"/>
      <c r="D28" s="14"/>
      <c r="E28" s="15"/>
      <c r="F28" s="15"/>
    </row>
    <row r="29" spans="2:17" x14ac:dyDescent="0.25">
      <c r="B29" s="13"/>
      <c r="C29" s="14"/>
      <c r="D29" s="14"/>
      <c r="E29" s="15"/>
      <c r="F29" s="15"/>
    </row>
    <row r="30" spans="2:17" x14ac:dyDescent="0.25">
      <c r="B30" s="13"/>
      <c r="C30" s="16"/>
      <c r="D30" s="16"/>
      <c r="E30" s="15"/>
      <c r="F30" s="15"/>
    </row>
    <row r="31" spans="2:17" x14ac:dyDescent="0.25">
      <c r="B31" s="13"/>
      <c r="C31" s="16"/>
      <c r="D31" s="16"/>
      <c r="E31" s="15"/>
      <c r="F31" s="15"/>
    </row>
    <row r="32" spans="2:17" x14ac:dyDescent="0.25">
      <c r="B32" s="13"/>
      <c r="C32" s="16"/>
      <c r="D32" s="16"/>
      <c r="E32" s="15"/>
      <c r="F32" s="15"/>
    </row>
    <row r="33" spans="2:6" x14ac:dyDescent="0.25">
      <c r="B33" s="13"/>
      <c r="C33" s="16"/>
      <c r="D33" s="16"/>
      <c r="E33" s="15"/>
      <c r="F33" s="15"/>
    </row>
    <row r="34" spans="2:6" x14ac:dyDescent="0.25">
      <c r="B34" s="13"/>
      <c r="C34" s="16"/>
      <c r="D34" s="16"/>
      <c r="E34" s="15"/>
      <c r="F34" s="15"/>
    </row>
    <row r="35" spans="2:6" x14ac:dyDescent="0.25">
      <c r="B35" s="13"/>
      <c r="C35" s="16"/>
      <c r="D35" s="16"/>
      <c r="E35" s="15"/>
      <c r="F35" s="15"/>
    </row>
    <row r="36" spans="2:6" x14ac:dyDescent="0.25">
      <c r="B36" s="13"/>
      <c r="C36" s="16"/>
      <c r="D36" s="16"/>
      <c r="E36" s="15"/>
      <c r="F36" s="15"/>
    </row>
    <row r="37" spans="2:6" x14ac:dyDescent="0.25">
      <c r="B37" s="13"/>
      <c r="C37" s="16"/>
      <c r="D37" s="16"/>
      <c r="E37" s="15"/>
      <c r="F37" s="15"/>
    </row>
    <row r="38" spans="2:6" x14ac:dyDescent="0.25">
      <c r="B38" s="13"/>
      <c r="C38" s="16"/>
      <c r="D38" s="16"/>
      <c r="E38" s="15"/>
      <c r="F38" s="15"/>
    </row>
  </sheetData>
  <mergeCells count="4">
    <mergeCell ref="H6:Q6"/>
    <mergeCell ref="H25:Q25"/>
    <mergeCell ref="H23:Q23"/>
    <mergeCell ref="H24:Q24"/>
  </mergeCells>
  <phoneticPr fontId="0" type="noConversion"/>
  <conditionalFormatting sqref="B4:C23">
    <cfRule type="expression" dxfId="148" priority="5">
      <formula>$D4="m"</formula>
    </cfRule>
    <cfRule type="expression" dxfId="147" priority="6">
      <formula>$D4="j"</formula>
    </cfRule>
  </conditionalFormatting>
  <conditionalFormatting sqref="D4:D23">
    <cfRule type="cellIs" dxfId="146" priority="11" operator="equal">
      <formula>"m"</formula>
    </cfRule>
    <cfRule type="cellIs" dxfId="145" priority="12" operator="equal">
      <formula>"j"</formula>
    </cfRule>
  </conditionalFormatting>
  <conditionalFormatting sqref="E4:F23">
    <cfRule type="expression" dxfId="144" priority="2">
      <formula>$D4="m"</formula>
    </cfRule>
    <cfRule type="expression" dxfId="143" priority="3">
      <formula>$D4="j"</formula>
    </cfRule>
  </conditionalFormatting>
  <conditionalFormatting sqref="F4:F23">
    <cfRule type="expression" dxfId="142" priority="1">
      <formula>$C4=""</formula>
    </cfRule>
  </conditionalFormatting>
  <dataValidations count="1">
    <dataValidation type="list" allowBlank="1" showInputMessage="1" showErrorMessage="1" sqref="D4:D23" xr:uid="{8A9CBEA0-7598-4344-8EFA-0DE7F68895A1}">
      <formula1>"j,m,"</formula1>
    </dataValidation>
  </dataValidations>
  <pageMargins left="0.75" right="0.75" top="1" bottom="0.63" header="0.5" footer="0.5"/>
  <pageSetup paperSize="9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FF"/>
  </sheetPr>
  <dimension ref="B3:CN42"/>
  <sheetViews>
    <sheetView showGridLines="0" showRowColHeaders="0" tabSelected="1" topLeftCell="A8" zoomScale="70" zoomScaleNormal="70" zoomScaleSheetLayoutView="90" workbookViewId="0">
      <pane xSplit="3" topLeftCell="BJ1" activePane="topRight" state="frozen"/>
      <selection pane="topRight" activeCell="BZ12" sqref="BZ12"/>
    </sheetView>
  </sheetViews>
  <sheetFormatPr defaultColWidth="9.1796875" defaultRowHeight="10.5" x14ac:dyDescent="0.25"/>
  <cols>
    <col min="1" max="1" width="9.1796875" style="1"/>
    <col min="2" max="2" width="4" style="4" customWidth="1"/>
    <col min="3" max="3" width="22.81640625" style="1" customWidth="1"/>
    <col min="4" max="4" width="4.54296875" style="4" customWidth="1"/>
    <col min="5" max="5" width="12.54296875" style="4" bestFit="1" customWidth="1"/>
    <col min="6" max="6" width="6.26953125" style="4" bestFit="1" customWidth="1"/>
    <col min="7" max="7" width="15.7265625" style="9" customWidth="1"/>
    <col min="8" max="8" width="2.54296875" style="9" customWidth="1"/>
    <col min="9" max="9" width="15.7265625" style="10" customWidth="1"/>
    <col min="10" max="10" width="2.54296875" style="10" customWidth="1"/>
    <col min="11" max="11" width="15.7265625" style="1" customWidth="1"/>
    <col min="12" max="12" width="2.54296875" style="1" customWidth="1"/>
    <col min="13" max="13" width="15.7265625" style="1" customWidth="1"/>
    <col min="14" max="14" width="2.54296875" style="1" customWidth="1"/>
    <col min="15" max="15" width="15.7265625" style="4" customWidth="1"/>
    <col min="16" max="16" width="2.54296875" style="4" customWidth="1"/>
    <col min="17" max="17" width="15.7265625" style="4" customWidth="1"/>
    <col min="18" max="18" width="2.54296875" style="4" customWidth="1"/>
    <col min="19" max="19" width="15.7265625" style="4" customWidth="1"/>
    <col min="20" max="20" width="2.54296875" style="4" customWidth="1"/>
    <col min="21" max="21" width="15.7265625" style="4" customWidth="1"/>
    <col min="22" max="22" width="2.54296875" style="4" customWidth="1"/>
    <col min="23" max="23" width="15.7265625" style="4" customWidth="1"/>
    <col min="24" max="24" width="2.54296875" style="4" customWidth="1"/>
    <col min="25" max="25" width="15.7265625" style="4" customWidth="1"/>
    <col min="26" max="26" width="2.54296875" style="4" customWidth="1"/>
    <col min="27" max="27" width="15.7265625" style="4" customWidth="1"/>
    <col min="28" max="28" width="2.54296875" style="4" customWidth="1"/>
    <col min="29" max="29" width="15.7265625" style="1" customWidth="1"/>
    <col min="30" max="30" width="2.54296875" style="1" customWidth="1"/>
    <col min="31" max="31" width="15.7265625" style="1" customWidth="1"/>
    <col min="32" max="32" width="2.54296875" style="1" customWidth="1"/>
    <col min="33" max="33" width="15.7265625" style="1" customWidth="1"/>
    <col min="34" max="34" width="2.54296875" style="1" customWidth="1"/>
    <col min="35" max="35" width="15.7265625" style="1" customWidth="1"/>
    <col min="36" max="36" width="2.54296875" style="1" customWidth="1"/>
    <col min="37" max="37" width="15.7265625" style="1" customWidth="1"/>
    <col min="38" max="38" width="2.54296875" style="1" customWidth="1"/>
    <col min="39" max="39" width="15.7265625" style="1" customWidth="1"/>
    <col min="40" max="40" width="2.54296875" style="1" customWidth="1"/>
    <col min="41" max="41" width="15.7265625" style="1" customWidth="1"/>
    <col min="42" max="42" width="2.54296875" style="1" customWidth="1"/>
    <col min="43" max="43" width="15.7265625" style="1" customWidth="1"/>
    <col min="44" max="44" width="2.54296875" style="1" customWidth="1"/>
    <col min="45" max="45" width="15.7265625" style="1" customWidth="1"/>
    <col min="46" max="46" width="2.54296875" style="1" customWidth="1"/>
    <col min="47" max="47" width="15.7265625" style="1" customWidth="1"/>
    <col min="48" max="48" width="2.54296875" style="1" customWidth="1"/>
    <col min="49" max="49" width="15.7265625" style="1" customWidth="1"/>
    <col min="50" max="50" width="2.54296875" style="1" customWidth="1"/>
    <col min="51" max="51" width="15.7265625" style="1" customWidth="1"/>
    <col min="52" max="52" width="2.54296875" style="1" customWidth="1"/>
    <col min="53" max="53" width="15.7265625" style="1" customWidth="1"/>
    <col min="54" max="54" width="2.54296875" style="1" customWidth="1"/>
    <col min="55" max="55" width="15.7265625" style="1" customWidth="1"/>
    <col min="56" max="56" width="2.54296875" style="1" customWidth="1"/>
    <col min="57" max="57" width="15.7265625" style="1" customWidth="1"/>
    <col min="58" max="58" width="2.54296875" style="1" customWidth="1"/>
    <col min="59" max="59" width="15.7265625" style="1" customWidth="1"/>
    <col min="60" max="60" width="2.54296875" style="1" customWidth="1"/>
    <col min="61" max="61" width="15.7265625" style="1" customWidth="1"/>
    <col min="62" max="62" width="2.54296875" style="1" customWidth="1"/>
    <col min="63" max="63" width="15.7265625" style="1" customWidth="1"/>
    <col min="64" max="64" width="2.54296875" style="1" customWidth="1"/>
    <col min="65" max="65" width="15.7265625" style="1" customWidth="1"/>
    <col min="66" max="67" width="2.54296875" style="1" customWidth="1"/>
    <col min="68" max="68" width="15.7265625" style="1" customWidth="1"/>
    <col min="69" max="69" width="2.54296875" style="1" customWidth="1"/>
    <col min="70" max="70" width="15.7265625" style="1" customWidth="1"/>
    <col min="71" max="71" width="2.54296875" style="1" customWidth="1"/>
    <col min="72" max="72" width="15.7265625" style="1" customWidth="1"/>
    <col min="73" max="73" width="2.54296875" style="1" customWidth="1"/>
    <col min="74" max="74" width="15.7265625" style="1" customWidth="1"/>
    <col min="75" max="75" width="2.54296875" style="1" customWidth="1"/>
    <col min="76" max="76" width="15.7265625" style="1" customWidth="1"/>
    <col min="77" max="77" width="2.54296875" style="1" customWidth="1"/>
    <col min="78" max="78" width="15.7265625" style="1" customWidth="1"/>
    <col min="79" max="79" width="2.54296875" style="1" customWidth="1"/>
    <col min="80" max="16384" width="9.1796875" style="1"/>
  </cols>
  <sheetData>
    <row r="3" spans="2:91" ht="26" x14ac:dyDescent="0.6">
      <c r="B3" s="2"/>
      <c r="C3" s="2"/>
      <c r="D3" s="2"/>
      <c r="E3" s="2"/>
      <c r="F3" s="259" t="s">
        <v>17</v>
      </c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3"/>
      <c r="U3" s="2"/>
      <c r="V3" s="2"/>
      <c r="W3" s="2"/>
      <c r="X3" s="2"/>
      <c r="Y3" s="2"/>
      <c r="Z3" s="2"/>
      <c r="AA3" s="3"/>
      <c r="AB3" s="3"/>
    </row>
    <row r="4" spans="2:91" ht="15.5" x14ac:dyDescent="0.35">
      <c r="B4" s="256" t="s">
        <v>18</v>
      </c>
      <c r="C4" s="257"/>
      <c r="D4" s="260"/>
      <c r="E4" s="261"/>
      <c r="F4" s="262"/>
      <c r="G4" s="304" t="s">
        <v>19</v>
      </c>
      <c r="H4" s="305"/>
      <c r="I4" s="305"/>
      <c r="J4" s="305"/>
      <c r="K4" s="305"/>
      <c r="L4" s="305"/>
      <c r="M4" s="305"/>
      <c r="N4" s="305"/>
      <c r="O4" s="305"/>
      <c r="P4" s="215"/>
    </row>
    <row r="5" spans="2:91" ht="11" thickBot="1" x14ac:dyDescent="0.3">
      <c r="B5" s="12"/>
      <c r="G5" s="7"/>
      <c r="H5" s="7"/>
      <c r="I5" s="8"/>
      <c r="J5" s="8"/>
      <c r="K5" s="5"/>
      <c r="L5" s="5"/>
      <c r="M5" s="5"/>
      <c r="N5" s="5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</row>
    <row r="6" spans="2:91" ht="16.5" customHeight="1" thickTop="1" thickBot="1" x14ac:dyDescent="0.4">
      <c r="B6" s="44"/>
      <c r="C6" s="45"/>
      <c r="D6" s="46"/>
      <c r="E6" s="46"/>
      <c r="F6" s="47"/>
      <c r="G6" s="263" t="s">
        <v>20</v>
      </c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5"/>
      <c r="AA6" s="317" t="s">
        <v>21</v>
      </c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9"/>
      <c r="AU6" s="309" t="s">
        <v>22</v>
      </c>
      <c r="AV6" s="310"/>
      <c r="AW6" s="310"/>
      <c r="AX6" s="310"/>
      <c r="AY6" s="310"/>
      <c r="AZ6" s="310"/>
      <c r="BA6" s="310"/>
      <c r="BB6" s="310"/>
      <c r="BC6" s="310"/>
      <c r="BD6" s="310"/>
      <c r="BE6" s="310"/>
      <c r="BF6" s="311"/>
      <c r="BG6" s="269" t="s">
        <v>23</v>
      </c>
      <c r="BH6" s="270"/>
      <c r="BI6" s="270"/>
      <c r="BJ6" s="270"/>
      <c r="BK6" s="270"/>
      <c r="BL6" s="270"/>
      <c r="BM6" s="270"/>
      <c r="BN6" s="270"/>
      <c r="BO6" s="270"/>
      <c r="BP6" s="270"/>
      <c r="BQ6" s="271"/>
      <c r="BR6" s="290" t="s">
        <v>24</v>
      </c>
      <c r="BS6" s="291"/>
      <c r="BT6" s="291"/>
      <c r="BU6" s="291"/>
      <c r="BV6" s="291"/>
      <c r="BW6" s="291"/>
      <c r="BX6" s="291"/>
      <c r="BY6" s="291"/>
      <c r="BZ6" s="291"/>
      <c r="CA6" s="48"/>
      <c r="CB6" s="283" t="s">
        <v>25</v>
      </c>
      <c r="CC6" s="295" t="s">
        <v>26</v>
      </c>
      <c r="CD6" s="297" t="s">
        <v>27</v>
      </c>
      <c r="CE6" s="299" t="s">
        <v>28</v>
      </c>
      <c r="CF6" s="285" t="s">
        <v>29</v>
      </c>
      <c r="CG6" s="49" t="s">
        <v>30</v>
      </c>
      <c r="CH6" s="50"/>
      <c r="CI6" s="50"/>
      <c r="CJ6" s="50"/>
      <c r="CK6" s="50"/>
      <c r="CL6" s="50"/>
      <c r="CM6" s="51"/>
    </row>
    <row r="7" spans="2:91" ht="15.5" x14ac:dyDescent="0.35">
      <c r="B7" s="52"/>
      <c r="C7" s="53"/>
      <c r="D7" s="54"/>
      <c r="E7" s="54"/>
      <c r="F7" s="55"/>
      <c r="G7" s="266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8"/>
      <c r="AA7" s="315"/>
      <c r="AB7" s="316"/>
      <c r="AC7" s="316"/>
      <c r="AD7" s="316"/>
      <c r="AE7" s="316"/>
      <c r="AF7" s="185"/>
      <c r="AG7" s="132"/>
      <c r="AH7" s="185"/>
      <c r="AI7" s="132"/>
      <c r="AJ7" s="56"/>
      <c r="AK7" s="320" t="s">
        <v>31</v>
      </c>
      <c r="AL7" s="321"/>
      <c r="AM7" s="321"/>
      <c r="AN7" s="321"/>
      <c r="AO7" s="321"/>
      <c r="AP7" s="321"/>
      <c r="AQ7" s="321"/>
      <c r="AR7" s="322"/>
      <c r="AS7" s="57"/>
      <c r="AT7" s="58"/>
      <c r="AU7" s="312"/>
      <c r="AV7" s="313"/>
      <c r="AW7" s="313"/>
      <c r="AX7" s="313"/>
      <c r="AY7" s="313"/>
      <c r="AZ7" s="313"/>
      <c r="BA7" s="313"/>
      <c r="BB7" s="313"/>
      <c r="BC7" s="313"/>
      <c r="BD7" s="313"/>
      <c r="BE7" s="313"/>
      <c r="BF7" s="314"/>
      <c r="BG7" s="272"/>
      <c r="BH7" s="273"/>
      <c r="BI7" s="273"/>
      <c r="BJ7" s="273"/>
      <c r="BK7" s="273"/>
      <c r="BL7" s="273"/>
      <c r="BM7" s="273"/>
      <c r="BN7" s="273"/>
      <c r="BO7" s="273"/>
      <c r="BP7" s="273"/>
      <c r="BQ7" s="274"/>
      <c r="BR7" s="292"/>
      <c r="BS7" s="293"/>
      <c r="BT7" s="293"/>
      <c r="BU7" s="293"/>
      <c r="BV7" s="293"/>
      <c r="BW7" s="293"/>
      <c r="BX7" s="293"/>
      <c r="BY7" s="293"/>
      <c r="BZ7" s="294"/>
      <c r="CA7" s="59"/>
      <c r="CB7" s="284"/>
      <c r="CC7" s="296"/>
      <c r="CD7" s="298"/>
      <c r="CE7" s="300"/>
      <c r="CF7" s="286"/>
      <c r="CG7" s="60"/>
      <c r="CH7" s="61"/>
      <c r="CI7" s="61"/>
      <c r="CJ7" s="61"/>
      <c r="CK7" s="61"/>
      <c r="CL7" s="61"/>
      <c r="CM7" s="62"/>
    </row>
    <row r="8" spans="2:91" ht="229" customHeight="1" thickBot="1" x14ac:dyDescent="0.4">
      <c r="B8" s="52"/>
      <c r="C8" s="63"/>
      <c r="D8" s="54"/>
      <c r="E8" s="64"/>
      <c r="F8" s="55"/>
      <c r="G8" s="188" t="s">
        <v>32</v>
      </c>
      <c r="H8" s="189" t="s">
        <v>33</v>
      </c>
      <c r="I8" s="190" t="s">
        <v>34</v>
      </c>
      <c r="J8" s="191" t="s">
        <v>33</v>
      </c>
      <c r="K8" s="192" t="s">
        <v>35</v>
      </c>
      <c r="L8" s="191" t="s">
        <v>33</v>
      </c>
      <c r="M8" s="192" t="s">
        <v>36</v>
      </c>
      <c r="N8" s="191" t="s">
        <v>33</v>
      </c>
      <c r="O8" s="192" t="s">
        <v>37</v>
      </c>
      <c r="P8" s="191" t="s">
        <v>33</v>
      </c>
      <c r="Q8" s="192" t="s">
        <v>38</v>
      </c>
      <c r="R8" s="191" t="s">
        <v>33</v>
      </c>
      <c r="S8" s="192" t="s">
        <v>39</v>
      </c>
      <c r="T8" s="191" t="s">
        <v>33</v>
      </c>
      <c r="U8" s="192" t="s">
        <v>40</v>
      </c>
      <c r="V8" s="191" t="s">
        <v>33</v>
      </c>
      <c r="W8" s="192" t="s">
        <v>41</v>
      </c>
      <c r="X8" s="193" t="s">
        <v>33</v>
      </c>
      <c r="Y8" s="194" t="s">
        <v>42</v>
      </c>
      <c r="Z8" s="193" t="s">
        <v>33</v>
      </c>
      <c r="AA8" s="195" t="s">
        <v>43</v>
      </c>
      <c r="AB8" s="196" t="s">
        <v>33</v>
      </c>
      <c r="AC8" s="197" t="s">
        <v>44</v>
      </c>
      <c r="AD8" s="196" t="s">
        <v>33</v>
      </c>
      <c r="AE8" s="197" t="s">
        <v>45</v>
      </c>
      <c r="AF8" s="196" t="s">
        <v>33</v>
      </c>
      <c r="AG8" s="197" t="s">
        <v>46</v>
      </c>
      <c r="AH8" s="196" t="s">
        <v>33</v>
      </c>
      <c r="AI8" s="197" t="s">
        <v>47</v>
      </c>
      <c r="AJ8" s="198" t="s">
        <v>33</v>
      </c>
      <c r="AK8" s="199" t="s">
        <v>48</v>
      </c>
      <c r="AL8" s="196" t="s">
        <v>33</v>
      </c>
      <c r="AM8" s="197" t="s">
        <v>49</v>
      </c>
      <c r="AN8" s="196" t="s">
        <v>33</v>
      </c>
      <c r="AO8" s="197" t="s">
        <v>50</v>
      </c>
      <c r="AP8" s="196" t="s">
        <v>33</v>
      </c>
      <c r="AQ8" s="197" t="s">
        <v>51</v>
      </c>
      <c r="AR8" s="198" t="s">
        <v>33</v>
      </c>
      <c r="AS8" s="199" t="s">
        <v>42</v>
      </c>
      <c r="AT8" s="198" t="s">
        <v>33</v>
      </c>
      <c r="AU8" s="200" t="s">
        <v>52</v>
      </c>
      <c r="AV8" s="201" t="s">
        <v>33</v>
      </c>
      <c r="AW8" s="202" t="s">
        <v>53</v>
      </c>
      <c r="AX8" s="201" t="s">
        <v>33</v>
      </c>
      <c r="AY8" s="202" t="s">
        <v>54</v>
      </c>
      <c r="AZ8" s="201" t="s">
        <v>33</v>
      </c>
      <c r="BA8" s="202" t="s">
        <v>55</v>
      </c>
      <c r="BB8" s="201" t="s">
        <v>33</v>
      </c>
      <c r="BC8" s="202" t="s">
        <v>56</v>
      </c>
      <c r="BD8" s="201" t="s">
        <v>33</v>
      </c>
      <c r="BE8" s="200" t="s">
        <v>42</v>
      </c>
      <c r="BF8" s="203" t="s">
        <v>33</v>
      </c>
      <c r="BG8" s="204" t="s">
        <v>57</v>
      </c>
      <c r="BH8" s="205" t="s">
        <v>33</v>
      </c>
      <c r="BI8" s="206" t="s">
        <v>58</v>
      </c>
      <c r="BJ8" s="207" t="s">
        <v>33</v>
      </c>
      <c r="BK8" s="206" t="s">
        <v>59</v>
      </c>
      <c r="BL8" s="207" t="s">
        <v>33</v>
      </c>
      <c r="BM8" s="206" t="s">
        <v>60</v>
      </c>
      <c r="BN8" s="205" t="s">
        <v>33</v>
      </c>
      <c r="BO8" s="216" t="s">
        <v>61</v>
      </c>
      <c r="BP8" s="204" t="s">
        <v>42</v>
      </c>
      <c r="BQ8" s="208" t="s">
        <v>33</v>
      </c>
      <c r="BR8" s="209" t="s">
        <v>62</v>
      </c>
      <c r="BS8" s="210" t="s">
        <v>33</v>
      </c>
      <c r="BT8" s="211" t="s">
        <v>63</v>
      </c>
      <c r="BU8" s="210" t="s">
        <v>33</v>
      </c>
      <c r="BV8" s="211" t="s">
        <v>64</v>
      </c>
      <c r="BW8" s="210" t="s">
        <v>33</v>
      </c>
      <c r="BX8" s="211" t="s">
        <v>65</v>
      </c>
      <c r="BY8" s="210" t="s">
        <v>33</v>
      </c>
      <c r="BZ8" s="209" t="s">
        <v>42</v>
      </c>
      <c r="CA8" s="210" t="s">
        <v>33</v>
      </c>
      <c r="CB8" s="284"/>
      <c r="CC8" s="296"/>
      <c r="CD8" s="298"/>
      <c r="CE8" s="300"/>
      <c r="CF8" s="286"/>
      <c r="CG8" s="65"/>
      <c r="CH8" s="66"/>
      <c r="CI8" s="66"/>
      <c r="CJ8" s="66"/>
      <c r="CK8" s="66"/>
      <c r="CL8" s="66"/>
      <c r="CM8" s="67"/>
    </row>
    <row r="9" spans="2:91" s="11" customFormat="1" ht="13.5" customHeight="1" thickTop="1" thickBot="1" x14ac:dyDescent="0.4">
      <c r="B9" s="68"/>
      <c r="C9" s="69" t="s">
        <v>66</v>
      </c>
      <c r="D9" s="70" t="s">
        <v>1</v>
      </c>
      <c r="E9" s="71" t="s">
        <v>67</v>
      </c>
      <c r="F9" s="72" t="s">
        <v>68</v>
      </c>
      <c r="G9" s="307" t="s">
        <v>69</v>
      </c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8"/>
      <c r="AA9" s="306" t="s">
        <v>69</v>
      </c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8"/>
      <c r="AU9" s="306" t="s">
        <v>69</v>
      </c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08"/>
      <c r="BG9" s="73" t="s">
        <v>69</v>
      </c>
      <c r="BH9" s="74"/>
      <c r="BI9" s="74"/>
      <c r="BJ9" s="74"/>
      <c r="BK9" s="74"/>
      <c r="BL9" s="74"/>
      <c r="BM9" s="74"/>
      <c r="BN9" s="74"/>
      <c r="BO9" s="74"/>
      <c r="BP9" s="74"/>
      <c r="BQ9" s="75"/>
      <c r="BR9" s="281" t="s">
        <v>69</v>
      </c>
      <c r="BS9" s="282"/>
      <c r="BT9" s="282"/>
      <c r="BU9" s="282"/>
      <c r="BV9" s="282"/>
      <c r="BW9" s="282"/>
      <c r="BX9" s="282"/>
      <c r="BY9" s="282"/>
      <c r="BZ9" s="282"/>
      <c r="CA9" s="76"/>
      <c r="CB9" s="284"/>
      <c r="CC9" s="296"/>
      <c r="CD9" s="298"/>
      <c r="CE9" s="300"/>
      <c r="CF9" s="286"/>
      <c r="CG9" s="77"/>
      <c r="CH9" s="78"/>
      <c r="CI9" s="78"/>
      <c r="CJ9" s="78"/>
      <c r="CK9" s="78"/>
      <c r="CL9" s="78"/>
      <c r="CM9" s="79"/>
    </row>
    <row r="10" spans="2:91" ht="16" thickTop="1" x14ac:dyDescent="0.35">
      <c r="B10" s="80">
        <v>1</v>
      </c>
      <c r="C10" s="81" t="str">
        <f>Namenlijst!C4</f>
        <v>madelief</v>
      </c>
      <c r="D10" s="82" t="str">
        <f>Namenlijst!D4</f>
        <v>m</v>
      </c>
      <c r="E10" s="83">
        <f>Namenlijst!E4</f>
        <v>43008</v>
      </c>
      <c r="F10" s="84">
        <f>Namenlijst!F4</f>
        <v>2</v>
      </c>
      <c r="G10" s="85">
        <v>3</v>
      </c>
      <c r="H10" s="86"/>
      <c r="I10" s="85">
        <v>3</v>
      </c>
      <c r="J10" s="86"/>
      <c r="K10" s="87">
        <v>3</v>
      </c>
      <c r="L10" s="88"/>
      <c r="M10" s="87">
        <v>3</v>
      </c>
      <c r="N10" s="88"/>
      <c r="O10" s="87">
        <v>3</v>
      </c>
      <c r="P10" s="88"/>
      <c r="Q10" s="87">
        <v>3</v>
      </c>
      <c r="R10" s="88"/>
      <c r="S10" s="87">
        <v>3</v>
      </c>
      <c r="T10" s="88"/>
      <c r="U10" s="87">
        <v>3</v>
      </c>
      <c r="V10" s="88"/>
      <c r="W10" s="87">
        <v>3</v>
      </c>
      <c r="X10" s="89"/>
      <c r="Y10" s="85">
        <v>3</v>
      </c>
      <c r="Z10" s="89"/>
      <c r="AA10" s="90">
        <v>3</v>
      </c>
      <c r="AB10" s="86"/>
      <c r="AC10" s="85">
        <v>3</v>
      </c>
      <c r="AD10" s="86"/>
      <c r="AE10" s="87">
        <v>3</v>
      </c>
      <c r="AF10" s="88"/>
      <c r="AG10" s="87">
        <v>3</v>
      </c>
      <c r="AH10" s="88"/>
      <c r="AI10" s="87">
        <v>3</v>
      </c>
      <c r="AJ10" s="88"/>
      <c r="AK10" s="91">
        <v>3</v>
      </c>
      <c r="AL10" s="88"/>
      <c r="AM10" s="92">
        <v>3</v>
      </c>
      <c r="AN10" s="88"/>
      <c r="AO10" s="92">
        <v>3</v>
      </c>
      <c r="AP10" s="88"/>
      <c r="AQ10" s="92">
        <v>3</v>
      </c>
      <c r="AR10" s="89"/>
      <c r="AS10" s="85">
        <v>3</v>
      </c>
      <c r="AT10" s="89"/>
      <c r="AU10" s="90">
        <v>3</v>
      </c>
      <c r="AV10" s="86"/>
      <c r="AW10" s="85">
        <v>3</v>
      </c>
      <c r="AX10" s="86"/>
      <c r="AY10" s="87">
        <v>3</v>
      </c>
      <c r="AZ10" s="88"/>
      <c r="BA10" s="87">
        <v>3</v>
      </c>
      <c r="BB10" s="88"/>
      <c r="BC10" s="87">
        <v>3</v>
      </c>
      <c r="BD10" s="88"/>
      <c r="BE10" s="91">
        <v>3</v>
      </c>
      <c r="BF10" s="89"/>
      <c r="BG10" s="90">
        <v>3</v>
      </c>
      <c r="BH10" s="86"/>
      <c r="BI10" s="85">
        <v>3</v>
      </c>
      <c r="BJ10" s="86"/>
      <c r="BK10" s="87">
        <v>3</v>
      </c>
      <c r="BL10" s="88"/>
      <c r="BM10" s="87">
        <v>3</v>
      </c>
      <c r="BN10" s="88"/>
      <c r="BO10" s="217"/>
      <c r="BP10" s="91">
        <v>3</v>
      </c>
      <c r="BQ10" s="89"/>
      <c r="BR10" s="90">
        <v>3</v>
      </c>
      <c r="BS10" s="86"/>
      <c r="BT10" s="85">
        <v>3</v>
      </c>
      <c r="BU10" s="86"/>
      <c r="BV10" s="87">
        <v>3</v>
      </c>
      <c r="BW10" s="88"/>
      <c r="BX10" s="87">
        <v>3</v>
      </c>
      <c r="BY10" s="88"/>
      <c r="BZ10" s="91">
        <v>3</v>
      </c>
      <c r="CA10" s="88"/>
      <c r="CB10" s="236">
        <f>SUM(G10:Y10)</f>
        <v>30</v>
      </c>
      <c r="CC10" s="237">
        <f>SUM(AA10:AS10)</f>
        <v>30</v>
      </c>
      <c r="CD10" s="125">
        <f>SUM(AU10:BE10)</f>
        <v>18</v>
      </c>
      <c r="CE10" s="238">
        <f>SUM(BG10:BP10)</f>
        <v>15</v>
      </c>
      <c r="CF10" s="239">
        <f>SUM(BR10:BZ10)</f>
        <v>15</v>
      </c>
      <c r="CG10" s="278" t="s">
        <v>70</v>
      </c>
      <c r="CH10" s="279"/>
      <c r="CI10" s="279"/>
      <c r="CJ10" s="279"/>
      <c r="CK10" s="279"/>
      <c r="CL10" s="279"/>
      <c r="CM10" s="280"/>
    </row>
    <row r="11" spans="2:91" ht="15.5" x14ac:dyDescent="0.35">
      <c r="B11" s="93">
        <v>2</v>
      </c>
      <c r="C11" s="94" t="str">
        <f>Namenlijst!C5</f>
        <v>miep</v>
      </c>
      <c r="D11" s="95" t="str">
        <f>Namenlijst!D5</f>
        <v>m</v>
      </c>
      <c r="E11" s="96">
        <f>Namenlijst!E5</f>
        <v>42892</v>
      </c>
      <c r="F11" s="97">
        <f>Namenlijst!F5</f>
        <v>2</v>
      </c>
      <c r="G11" s="98">
        <v>3</v>
      </c>
      <c r="H11" s="99"/>
      <c r="I11" s="98">
        <v>3</v>
      </c>
      <c r="J11" s="99"/>
      <c r="K11" s="100">
        <v>3</v>
      </c>
      <c r="L11" s="101"/>
      <c r="M11" s="100">
        <v>3</v>
      </c>
      <c r="N11" s="101"/>
      <c r="O11" s="100">
        <v>2</v>
      </c>
      <c r="P11" s="101"/>
      <c r="Q11" s="100">
        <v>2</v>
      </c>
      <c r="R11" s="101"/>
      <c r="S11" s="87">
        <v>3</v>
      </c>
      <c r="T11" s="101"/>
      <c r="U11" s="100">
        <v>3</v>
      </c>
      <c r="V11" s="101"/>
      <c r="W11" s="100">
        <v>3</v>
      </c>
      <c r="X11" s="102"/>
      <c r="Y11" s="98">
        <v>3</v>
      </c>
      <c r="Z11" s="102"/>
      <c r="AA11" s="103">
        <v>3</v>
      </c>
      <c r="AB11" s="99"/>
      <c r="AC11" s="98">
        <v>3</v>
      </c>
      <c r="AD11" s="99"/>
      <c r="AE11" s="100">
        <v>3</v>
      </c>
      <c r="AF11" s="101"/>
      <c r="AG11" s="100">
        <v>1</v>
      </c>
      <c r="AH11" s="101"/>
      <c r="AI11" s="100">
        <v>2</v>
      </c>
      <c r="AJ11" s="101"/>
      <c r="AK11" s="103">
        <v>2</v>
      </c>
      <c r="AL11" s="101"/>
      <c r="AM11" s="100">
        <v>3</v>
      </c>
      <c r="AN11" s="101"/>
      <c r="AO11" s="100">
        <v>2</v>
      </c>
      <c r="AP11" s="101"/>
      <c r="AQ11" s="100">
        <v>2</v>
      </c>
      <c r="AR11" s="102"/>
      <c r="AS11" s="98">
        <v>2</v>
      </c>
      <c r="AT11" s="102"/>
      <c r="AU11" s="103">
        <v>2</v>
      </c>
      <c r="AV11" s="99"/>
      <c r="AW11" s="98">
        <v>2</v>
      </c>
      <c r="AX11" s="99"/>
      <c r="AY11" s="100">
        <v>3</v>
      </c>
      <c r="AZ11" s="101"/>
      <c r="BA11" s="100">
        <v>2</v>
      </c>
      <c r="BB11" s="101"/>
      <c r="BC11" s="100">
        <v>1</v>
      </c>
      <c r="BD11" s="101"/>
      <c r="BE11" s="103">
        <v>2</v>
      </c>
      <c r="BF11" s="102"/>
      <c r="BG11" s="103">
        <v>3</v>
      </c>
      <c r="BH11" s="99"/>
      <c r="BI11" s="98">
        <v>3</v>
      </c>
      <c r="BJ11" s="99"/>
      <c r="BK11" s="100">
        <v>3</v>
      </c>
      <c r="BL11" s="101"/>
      <c r="BM11" s="100">
        <v>3</v>
      </c>
      <c r="BN11" s="101"/>
      <c r="BO11" s="218"/>
      <c r="BP11" s="103">
        <v>3</v>
      </c>
      <c r="BQ11" s="102"/>
      <c r="BR11" s="103">
        <v>3</v>
      </c>
      <c r="BS11" s="99"/>
      <c r="BT11" s="98">
        <v>2</v>
      </c>
      <c r="BU11" s="99"/>
      <c r="BV11" s="100">
        <v>2</v>
      </c>
      <c r="BW11" s="101"/>
      <c r="BX11" s="100">
        <v>3</v>
      </c>
      <c r="BY11" s="101"/>
      <c r="BZ11" s="103">
        <v>1</v>
      </c>
      <c r="CA11" s="101"/>
      <c r="CB11" s="240">
        <f t="shared" ref="CB11:CB29" si="0">SUM(G11:Y11)</f>
        <v>28</v>
      </c>
      <c r="CC11" s="225">
        <f t="shared" ref="CC11:CC29" si="1">SUM(AA11:AS11)</f>
        <v>23</v>
      </c>
      <c r="CD11" s="126">
        <f t="shared" ref="CD11:CD29" si="2">SUM(AU11:BE11)</f>
        <v>12</v>
      </c>
      <c r="CE11" s="224">
        <f t="shared" ref="CE11:CE29" si="3">SUM(BG11:BP11)</f>
        <v>15</v>
      </c>
      <c r="CF11" s="241">
        <f t="shared" ref="CF11:CF29" si="4">SUM(BR11:BZ11)</f>
        <v>11</v>
      </c>
      <c r="CG11" s="275" t="s">
        <v>71</v>
      </c>
      <c r="CH11" s="276"/>
      <c r="CI11" s="276"/>
      <c r="CJ11" s="276"/>
      <c r="CK11" s="276"/>
      <c r="CL11" s="276"/>
      <c r="CM11" s="277"/>
    </row>
    <row r="12" spans="2:91" ht="15.5" x14ac:dyDescent="0.35">
      <c r="B12" s="93">
        <v>3</v>
      </c>
      <c r="C12" s="94" t="str">
        <f>Namenlijst!C6</f>
        <v>robert</v>
      </c>
      <c r="D12" s="95" t="str">
        <f>Namenlijst!D6</f>
        <v>j</v>
      </c>
      <c r="E12" s="96">
        <f>Namenlijst!E6</f>
        <v>42892</v>
      </c>
      <c r="F12" s="97">
        <f>Namenlijst!F6</f>
        <v>2</v>
      </c>
      <c r="G12" s="98">
        <v>3</v>
      </c>
      <c r="H12" s="99"/>
      <c r="I12" s="98">
        <v>3</v>
      </c>
      <c r="J12" s="99"/>
      <c r="K12" s="100">
        <v>3</v>
      </c>
      <c r="L12" s="101"/>
      <c r="M12" s="100">
        <v>3</v>
      </c>
      <c r="N12" s="101"/>
      <c r="O12" s="100">
        <v>3</v>
      </c>
      <c r="P12" s="101"/>
      <c r="Q12" s="100">
        <v>3</v>
      </c>
      <c r="R12" s="101"/>
      <c r="S12" s="100">
        <v>3</v>
      </c>
      <c r="T12" s="101"/>
      <c r="U12" s="100">
        <v>3</v>
      </c>
      <c r="V12" s="101"/>
      <c r="W12" s="100">
        <v>3</v>
      </c>
      <c r="X12" s="102"/>
      <c r="Y12" s="98">
        <v>3</v>
      </c>
      <c r="Z12" s="102"/>
      <c r="AA12" s="103">
        <v>3</v>
      </c>
      <c r="AB12" s="99"/>
      <c r="AC12" s="98">
        <v>3</v>
      </c>
      <c r="AD12" s="99"/>
      <c r="AE12" s="100">
        <v>3</v>
      </c>
      <c r="AF12" s="101"/>
      <c r="AG12" s="100">
        <v>3</v>
      </c>
      <c r="AH12" s="101"/>
      <c r="AI12" s="100">
        <v>3</v>
      </c>
      <c r="AJ12" s="101"/>
      <c r="AK12" s="103">
        <v>3</v>
      </c>
      <c r="AL12" s="101"/>
      <c r="AM12" s="100">
        <v>3</v>
      </c>
      <c r="AN12" s="101"/>
      <c r="AO12" s="100">
        <v>3</v>
      </c>
      <c r="AP12" s="101"/>
      <c r="AQ12" s="100">
        <v>3</v>
      </c>
      <c r="AR12" s="102"/>
      <c r="AS12" s="98">
        <v>3</v>
      </c>
      <c r="AT12" s="102"/>
      <c r="AU12" s="103">
        <v>2</v>
      </c>
      <c r="AV12" s="99"/>
      <c r="AW12" s="98">
        <v>3</v>
      </c>
      <c r="AX12" s="99"/>
      <c r="AY12" s="100">
        <v>3</v>
      </c>
      <c r="AZ12" s="101"/>
      <c r="BA12" s="100">
        <v>3</v>
      </c>
      <c r="BB12" s="101"/>
      <c r="BC12" s="100">
        <v>1</v>
      </c>
      <c r="BD12" s="101"/>
      <c r="BE12" s="103">
        <v>2</v>
      </c>
      <c r="BF12" s="102"/>
      <c r="BG12" s="103">
        <v>3</v>
      </c>
      <c r="BH12" s="99"/>
      <c r="BI12" s="98">
        <v>3</v>
      </c>
      <c r="BJ12" s="99"/>
      <c r="BK12" s="100">
        <v>3</v>
      </c>
      <c r="BL12" s="101"/>
      <c r="BM12" s="100">
        <v>3</v>
      </c>
      <c r="BN12" s="101"/>
      <c r="BO12" s="218"/>
      <c r="BP12" s="103">
        <v>3</v>
      </c>
      <c r="BQ12" s="102"/>
      <c r="BR12" s="103">
        <v>3</v>
      </c>
      <c r="BS12" s="99"/>
      <c r="BT12" s="98">
        <v>2</v>
      </c>
      <c r="BU12" s="99"/>
      <c r="BV12" s="100">
        <v>2</v>
      </c>
      <c r="BW12" s="101"/>
      <c r="BX12" s="100">
        <v>3</v>
      </c>
      <c r="BY12" s="101"/>
      <c r="BZ12" s="103">
        <v>2</v>
      </c>
      <c r="CA12" s="101"/>
      <c r="CB12" s="240">
        <f t="shared" si="0"/>
        <v>30</v>
      </c>
      <c r="CC12" s="225">
        <f t="shared" si="1"/>
        <v>30</v>
      </c>
      <c r="CD12" s="126">
        <f t="shared" si="2"/>
        <v>14</v>
      </c>
      <c r="CE12" s="224">
        <f t="shared" si="3"/>
        <v>15</v>
      </c>
      <c r="CF12" s="241">
        <f t="shared" si="4"/>
        <v>12</v>
      </c>
      <c r="CG12" s="275" t="s">
        <v>72</v>
      </c>
      <c r="CH12" s="276"/>
      <c r="CI12" s="276"/>
      <c r="CJ12" s="276"/>
      <c r="CK12" s="276"/>
      <c r="CL12" s="276"/>
      <c r="CM12" s="277"/>
    </row>
    <row r="13" spans="2:91" ht="15.5" x14ac:dyDescent="0.35">
      <c r="B13" s="93">
        <v>4</v>
      </c>
      <c r="C13" s="94">
        <f>Namenlijst!C7</f>
        <v>0</v>
      </c>
      <c r="D13" s="95">
        <f>Namenlijst!D7</f>
        <v>0</v>
      </c>
      <c r="E13" s="96">
        <f>Namenlijst!E7</f>
        <v>0</v>
      </c>
      <c r="F13" s="97">
        <f>Namenlijst!F7</f>
        <v>0</v>
      </c>
      <c r="G13" s="98"/>
      <c r="H13" s="99"/>
      <c r="I13" s="98"/>
      <c r="J13" s="99"/>
      <c r="K13" s="100"/>
      <c r="L13" s="101"/>
      <c r="M13" s="100"/>
      <c r="N13" s="101"/>
      <c r="O13" s="100"/>
      <c r="P13" s="101"/>
      <c r="Q13" s="100"/>
      <c r="R13" s="101"/>
      <c r="S13" s="100"/>
      <c r="T13" s="101"/>
      <c r="U13" s="100"/>
      <c r="V13" s="101"/>
      <c r="W13" s="100"/>
      <c r="X13" s="102"/>
      <c r="Y13" s="98"/>
      <c r="Z13" s="102"/>
      <c r="AA13" s="103"/>
      <c r="AB13" s="99"/>
      <c r="AC13" s="98"/>
      <c r="AD13" s="99"/>
      <c r="AE13" s="100"/>
      <c r="AF13" s="101"/>
      <c r="AG13" s="100"/>
      <c r="AH13" s="101"/>
      <c r="AI13" s="100"/>
      <c r="AJ13" s="101"/>
      <c r="AK13" s="103"/>
      <c r="AL13" s="101"/>
      <c r="AM13" s="100"/>
      <c r="AN13" s="101"/>
      <c r="AO13" s="100"/>
      <c r="AP13" s="101"/>
      <c r="AQ13" s="100"/>
      <c r="AR13" s="102"/>
      <c r="AS13" s="98"/>
      <c r="AT13" s="102"/>
      <c r="AU13" s="103"/>
      <c r="AV13" s="99"/>
      <c r="AW13" s="98"/>
      <c r="AX13" s="99"/>
      <c r="AY13" s="100"/>
      <c r="AZ13" s="101"/>
      <c r="BA13" s="100"/>
      <c r="BB13" s="101"/>
      <c r="BC13" s="100"/>
      <c r="BD13" s="101"/>
      <c r="BE13" s="103"/>
      <c r="BF13" s="102"/>
      <c r="BG13" s="103"/>
      <c r="BH13" s="99"/>
      <c r="BI13" s="98"/>
      <c r="BJ13" s="99"/>
      <c r="BK13" s="100"/>
      <c r="BL13" s="101"/>
      <c r="BM13" s="100"/>
      <c r="BN13" s="101"/>
      <c r="BO13" s="218"/>
      <c r="BP13" s="103"/>
      <c r="BQ13" s="102"/>
      <c r="BR13" s="103"/>
      <c r="BS13" s="99"/>
      <c r="BT13" s="98"/>
      <c r="BU13" s="99"/>
      <c r="BV13" s="100"/>
      <c r="BW13" s="101"/>
      <c r="BX13" s="100"/>
      <c r="BY13" s="101"/>
      <c r="BZ13" s="103"/>
      <c r="CA13" s="101"/>
      <c r="CB13" s="240">
        <f t="shared" si="0"/>
        <v>0</v>
      </c>
      <c r="CC13" s="225">
        <f t="shared" si="1"/>
        <v>0</v>
      </c>
      <c r="CD13" s="126">
        <f t="shared" si="2"/>
        <v>0</v>
      </c>
      <c r="CE13" s="224">
        <f t="shared" si="3"/>
        <v>0</v>
      </c>
      <c r="CF13" s="241">
        <f t="shared" si="4"/>
        <v>0</v>
      </c>
      <c r="CG13" s="278" t="s">
        <v>73</v>
      </c>
      <c r="CH13" s="279"/>
      <c r="CI13" s="279"/>
      <c r="CJ13" s="279"/>
      <c r="CK13" s="279"/>
      <c r="CL13" s="279"/>
      <c r="CM13" s="280"/>
    </row>
    <row r="14" spans="2:91" ht="15.5" x14ac:dyDescent="0.35">
      <c r="B14" s="93">
        <v>5</v>
      </c>
      <c r="C14" s="94">
        <f>Namenlijst!C8</f>
        <v>0</v>
      </c>
      <c r="D14" s="95">
        <f>Namenlijst!D8</f>
        <v>0</v>
      </c>
      <c r="E14" s="96">
        <f>Namenlijst!E8</f>
        <v>0</v>
      </c>
      <c r="F14" s="97">
        <f>Namenlijst!F8</f>
        <v>0</v>
      </c>
      <c r="G14" s="98"/>
      <c r="H14" s="99"/>
      <c r="I14" s="98"/>
      <c r="J14" s="99"/>
      <c r="K14" s="100"/>
      <c r="L14" s="101"/>
      <c r="M14" s="100"/>
      <c r="N14" s="101"/>
      <c r="O14" s="100"/>
      <c r="P14" s="101"/>
      <c r="Q14" s="100"/>
      <c r="R14" s="101"/>
      <c r="S14" s="100"/>
      <c r="T14" s="101"/>
      <c r="U14" s="100"/>
      <c r="V14" s="101"/>
      <c r="W14" s="100"/>
      <c r="X14" s="102"/>
      <c r="Y14" s="98"/>
      <c r="Z14" s="102"/>
      <c r="AA14" s="103"/>
      <c r="AB14" s="99"/>
      <c r="AC14" s="98"/>
      <c r="AD14" s="99"/>
      <c r="AE14" s="100"/>
      <c r="AF14" s="101"/>
      <c r="AG14" s="100"/>
      <c r="AH14" s="101"/>
      <c r="AI14" s="100"/>
      <c r="AJ14" s="101"/>
      <c r="AK14" s="103"/>
      <c r="AL14" s="101"/>
      <c r="AM14" s="100"/>
      <c r="AN14" s="101"/>
      <c r="AO14" s="100"/>
      <c r="AP14" s="101"/>
      <c r="AQ14" s="100"/>
      <c r="AR14" s="102"/>
      <c r="AS14" s="98"/>
      <c r="AT14" s="102"/>
      <c r="AU14" s="103"/>
      <c r="AV14" s="99"/>
      <c r="AW14" s="98"/>
      <c r="AX14" s="99"/>
      <c r="AY14" s="100"/>
      <c r="AZ14" s="101"/>
      <c r="BA14" s="100"/>
      <c r="BB14" s="101"/>
      <c r="BC14" s="100"/>
      <c r="BD14" s="101"/>
      <c r="BE14" s="103"/>
      <c r="BF14" s="102"/>
      <c r="BG14" s="103"/>
      <c r="BH14" s="99"/>
      <c r="BI14" s="98"/>
      <c r="BJ14" s="99"/>
      <c r="BK14" s="100"/>
      <c r="BL14" s="101"/>
      <c r="BM14" s="100"/>
      <c r="BN14" s="101"/>
      <c r="BO14" s="218"/>
      <c r="BP14" s="103"/>
      <c r="BQ14" s="102"/>
      <c r="BR14" s="103"/>
      <c r="BS14" s="99"/>
      <c r="BT14" s="98"/>
      <c r="BU14" s="99"/>
      <c r="BV14" s="100"/>
      <c r="BW14" s="101"/>
      <c r="BX14" s="100"/>
      <c r="BY14" s="101"/>
      <c r="BZ14" s="103"/>
      <c r="CA14" s="101"/>
      <c r="CB14" s="240">
        <f t="shared" si="0"/>
        <v>0</v>
      </c>
      <c r="CC14" s="225">
        <f t="shared" si="1"/>
        <v>0</v>
      </c>
      <c r="CD14" s="126">
        <f t="shared" si="2"/>
        <v>0</v>
      </c>
      <c r="CE14" s="224">
        <f t="shared" si="3"/>
        <v>0</v>
      </c>
      <c r="CF14" s="241">
        <f t="shared" si="4"/>
        <v>0</v>
      </c>
      <c r="CG14" s="275" t="s">
        <v>74</v>
      </c>
      <c r="CH14" s="276"/>
      <c r="CI14" s="276"/>
      <c r="CJ14" s="276"/>
      <c r="CK14" s="276"/>
      <c r="CL14" s="276"/>
      <c r="CM14" s="277"/>
    </row>
    <row r="15" spans="2:91" ht="15.5" x14ac:dyDescent="0.35">
      <c r="B15" s="93">
        <v>6</v>
      </c>
      <c r="C15" s="94">
        <f>Namenlijst!C9</f>
        <v>0</v>
      </c>
      <c r="D15" s="95">
        <f>Namenlijst!D9</f>
        <v>0</v>
      </c>
      <c r="E15" s="96">
        <f>Namenlijst!E9</f>
        <v>0</v>
      </c>
      <c r="F15" s="97">
        <f>Namenlijst!F9</f>
        <v>0</v>
      </c>
      <c r="G15" s="98"/>
      <c r="H15" s="99"/>
      <c r="I15" s="98"/>
      <c r="J15" s="99"/>
      <c r="K15" s="100"/>
      <c r="L15" s="101"/>
      <c r="M15" s="100"/>
      <c r="N15" s="101"/>
      <c r="O15" s="100"/>
      <c r="P15" s="101"/>
      <c r="Q15" s="100"/>
      <c r="R15" s="101"/>
      <c r="S15" s="100"/>
      <c r="T15" s="101"/>
      <c r="U15" s="100"/>
      <c r="V15" s="101"/>
      <c r="W15" s="100"/>
      <c r="X15" s="102"/>
      <c r="Y15" s="98"/>
      <c r="Z15" s="102"/>
      <c r="AA15" s="103"/>
      <c r="AB15" s="99"/>
      <c r="AC15" s="98"/>
      <c r="AD15" s="99"/>
      <c r="AE15" s="100"/>
      <c r="AF15" s="101"/>
      <c r="AG15" s="100"/>
      <c r="AH15" s="101"/>
      <c r="AI15" s="100"/>
      <c r="AJ15" s="101"/>
      <c r="AK15" s="103"/>
      <c r="AL15" s="101"/>
      <c r="AM15" s="100"/>
      <c r="AN15" s="101"/>
      <c r="AO15" s="100"/>
      <c r="AP15" s="101"/>
      <c r="AQ15" s="100"/>
      <c r="AR15" s="102"/>
      <c r="AS15" s="98"/>
      <c r="AT15" s="102"/>
      <c r="AU15" s="103"/>
      <c r="AV15" s="99"/>
      <c r="AW15" s="98"/>
      <c r="AX15" s="99"/>
      <c r="AY15" s="100"/>
      <c r="AZ15" s="101"/>
      <c r="BA15" s="100"/>
      <c r="BB15" s="101"/>
      <c r="BC15" s="100"/>
      <c r="BD15" s="101"/>
      <c r="BE15" s="103"/>
      <c r="BF15" s="102"/>
      <c r="BG15" s="103"/>
      <c r="BH15" s="99"/>
      <c r="BI15" s="98"/>
      <c r="BJ15" s="99"/>
      <c r="BK15" s="100"/>
      <c r="BL15" s="101"/>
      <c r="BM15" s="100"/>
      <c r="BN15" s="101"/>
      <c r="BO15" s="218"/>
      <c r="BP15" s="103"/>
      <c r="BQ15" s="102"/>
      <c r="BR15" s="103"/>
      <c r="BS15" s="99"/>
      <c r="BT15" s="98"/>
      <c r="BU15" s="99"/>
      <c r="BV15" s="100"/>
      <c r="BW15" s="101"/>
      <c r="BX15" s="100"/>
      <c r="BY15" s="101"/>
      <c r="BZ15" s="103"/>
      <c r="CA15" s="101"/>
      <c r="CB15" s="240">
        <f t="shared" si="0"/>
        <v>0</v>
      </c>
      <c r="CC15" s="225">
        <f t="shared" si="1"/>
        <v>0</v>
      </c>
      <c r="CD15" s="126">
        <f t="shared" si="2"/>
        <v>0</v>
      </c>
      <c r="CE15" s="224">
        <f t="shared" si="3"/>
        <v>0</v>
      </c>
      <c r="CF15" s="241">
        <f t="shared" si="4"/>
        <v>0</v>
      </c>
      <c r="CG15" s="275" t="s">
        <v>75</v>
      </c>
      <c r="CH15" s="276"/>
      <c r="CI15" s="276"/>
      <c r="CJ15" s="276"/>
      <c r="CK15" s="276"/>
      <c r="CL15" s="276"/>
      <c r="CM15" s="277"/>
    </row>
    <row r="16" spans="2:91" ht="15.5" x14ac:dyDescent="0.35">
      <c r="B16" s="93">
        <v>7</v>
      </c>
      <c r="C16" s="94">
        <f>Namenlijst!C10</f>
        <v>0</v>
      </c>
      <c r="D16" s="95">
        <f>Namenlijst!D10</f>
        <v>0</v>
      </c>
      <c r="E16" s="96">
        <f>Namenlijst!E10</f>
        <v>0</v>
      </c>
      <c r="F16" s="97">
        <f>Namenlijst!F10</f>
        <v>0</v>
      </c>
      <c r="G16" s="98"/>
      <c r="H16" s="99"/>
      <c r="I16" s="98"/>
      <c r="J16" s="99"/>
      <c r="K16" s="100"/>
      <c r="L16" s="101"/>
      <c r="M16" s="100"/>
      <c r="N16" s="101"/>
      <c r="O16" s="100"/>
      <c r="P16" s="101"/>
      <c r="Q16" s="100"/>
      <c r="R16" s="101"/>
      <c r="S16" s="100"/>
      <c r="T16" s="101"/>
      <c r="U16" s="100"/>
      <c r="V16" s="101"/>
      <c r="W16" s="100"/>
      <c r="X16" s="102"/>
      <c r="Y16" s="98"/>
      <c r="Z16" s="102"/>
      <c r="AA16" s="103"/>
      <c r="AB16" s="99"/>
      <c r="AC16" s="98"/>
      <c r="AD16" s="99"/>
      <c r="AE16" s="100"/>
      <c r="AF16" s="101"/>
      <c r="AG16" s="100"/>
      <c r="AH16" s="101"/>
      <c r="AI16" s="100"/>
      <c r="AJ16" s="101"/>
      <c r="AK16" s="103"/>
      <c r="AL16" s="101"/>
      <c r="AM16" s="100"/>
      <c r="AN16" s="101"/>
      <c r="AO16" s="100"/>
      <c r="AP16" s="101"/>
      <c r="AQ16" s="100"/>
      <c r="AR16" s="102"/>
      <c r="AS16" s="98"/>
      <c r="AT16" s="102"/>
      <c r="AU16" s="103"/>
      <c r="AV16" s="99"/>
      <c r="AW16" s="98"/>
      <c r="AX16" s="99"/>
      <c r="AY16" s="100"/>
      <c r="AZ16" s="101"/>
      <c r="BA16" s="100"/>
      <c r="BB16" s="101"/>
      <c r="BC16" s="100"/>
      <c r="BD16" s="101"/>
      <c r="BE16" s="103"/>
      <c r="BF16" s="102"/>
      <c r="BG16" s="103"/>
      <c r="BH16" s="99"/>
      <c r="BI16" s="98"/>
      <c r="BJ16" s="99"/>
      <c r="BK16" s="100"/>
      <c r="BL16" s="101"/>
      <c r="BM16" s="100"/>
      <c r="BN16" s="101"/>
      <c r="BO16" s="218"/>
      <c r="BP16" s="103"/>
      <c r="BQ16" s="102"/>
      <c r="BR16" s="103"/>
      <c r="BS16" s="99"/>
      <c r="BT16" s="98"/>
      <c r="BU16" s="99"/>
      <c r="BV16" s="100"/>
      <c r="BW16" s="101"/>
      <c r="BX16" s="100"/>
      <c r="BY16" s="101"/>
      <c r="BZ16" s="103"/>
      <c r="CA16" s="101"/>
      <c r="CB16" s="240">
        <f t="shared" si="0"/>
        <v>0</v>
      </c>
      <c r="CC16" s="225">
        <f t="shared" si="1"/>
        <v>0</v>
      </c>
      <c r="CD16" s="126">
        <f t="shared" si="2"/>
        <v>0</v>
      </c>
      <c r="CE16" s="224">
        <f t="shared" si="3"/>
        <v>0</v>
      </c>
      <c r="CF16" s="241">
        <f t="shared" si="4"/>
        <v>0</v>
      </c>
      <c r="CG16" s="275" t="s">
        <v>76</v>
      </c>
      <c r="CH16" s="276"/>
      <c r="CI16" s="276"/>
      <c r="CJ16" s="276"/>
      <c r="CK16" s="276"/>
      <c r="CL16" s="276"/>
      <c r="CM16" s="277"/>
    </row>
    <row r="17" spans="2:91" ht="15.5" x14ac:dyDescent="0.35">
      <c r="B17" s="93">
        <v>8</v>
      </c>
      <c r="C17" s="94">
        <f>Namenlijst!C11</f>
        <v>0</v>
      </c>
      <c r="D17" s="95">
        <f>Namenlijst!D11</f>
        <v>0</v>
      </c>
      <c r="E17" s="96">
        <f>Namenlijst!E11</f>
        <v>0</v>
      </c>
      <c r="F17" s="97">
        <f>Namenlijst!F11</f>
        <v>0</v>
      </c>
      <c r="G17" s="98"/>
      <c r="H17" s="99"/>
      <c r="I17" s="98"/>
      <c r="J17" s="99"/>
      <c r="K17" s="100"/>
      <c r="L17" s="101"/>
      <c r="M17" s="100"/>
      <c r="N17" s="101"/>
      <c r="O17" s="100"/>
      <c r="P17" s="101"/>
      <c r="Q17" s="100"/>
      <c r="R17" s="101"/>
      <c r="S17" s="100"/>
      <c r="T17" s="101"/>
      <c r="U17" s="100"/>
      <c r="V17" s="101"/>
      <c r="W17" s="100"/>
      <c r="X17" s="102"/>
      <c r="Y17" s="98"/>
      <c r="Z17" s="102"/>
      <c r="AA17" s="103"/>
      <c r="AB17" s="99"/>
      <c r="AC17" s="98"/>
      <c r="AD17" s="99"/>
      <c r="AE17" s="100"/>
      <c r="AF17" s="101"/>
      <c r="AG17" s="100"/>
      <c r="AH17" s="101"/>
      <c r="AI17" s="100"/>
      <c r="AJ17" s="101"/>
      <c r="AK17" s="103"/>
      <c r="AL17" s="101"/>
      <c r="AM17" s="100"/>
      <c r="AN17" s="101"/>
      <c r="AO17" s="100"/>
      <c r="AP17" s="101"/>
      <c r="AQ17" s="100"/>
      <c r="AR17" s="102"/>
      <c r="AS17" s="98"/>
      <c r="AT17" s="102"/>
      <c r="AU17" s="103"/>
      <c r="AV17" s="99"/>
      <c r="AW17" s="98"/>
      <c r="AX17" s="99"/>
      <c r="AY17" s="100"/>
      <c r="AZ17" s="101"/>
      <c r="BA17" s="100"/>
      <c r="BB17" s="101"/>
      <c r="BC17" s="100"/>
      <c r="BD17" s="101"/>
      <c r="BE17" s="103"/>
      <c r="BF17" s="102"/>
      <c r="BG17" s="103"/>
      <c r="BH17" s="99"/>
      <c r="BI17" s="98"/>
      <c r="BJ17" s="99"/>
      <c r="BK17" s="100"/>
      <c r="BL17" s="101"/>
      <c r="BM17" s="100"/>
      <c r="BN17" s="101"/>
      <c r="BO17" s="218"/>
      <c r="BP17" s="103"/>
      <c r="BQ17" s="102"/>
      <c r="BR17" s="103"/>
      <c r="BS17" s="99"/>
      <c r="BT17" s="98"/>
      <c r="BU17" s="99"/>
      <c r="BV17" s="100"/>
      <c r="BW17" s="101"/>
      <c r="BX17" s="100"/>
      <c r="BY17" s="101"/>
      <c r="BZ17" s="103"/>
      <c r="CA17" s="101"/>
      <c r="CB17" s="240">
        <f t="shared" si="0"/>
        <v>0</v>
      </c>
      <c r="CC17" s="225">
        <f t="shared" si="1"/>
        <v>0</v>
      </c>
      <c r="CD17" s="126">
        <f t="shared" si="2"/>
        <v>0</v>
      </c>
      <c r="CE17" s="224">
        <f t="shared" si="3"/>
        <v>0</v>
      </c>
      <c r="CF17" s="241">
        <f t="shared" si="4"/>
        <v>0</v>
      </c>
      <c r="CG17" s="275" t="s">
        <v>77</v>
      </c>
      <c r="CH17" s="276"/>
      <c r="CI17" s="276"/>
      <c r="CJ17" s="276"/>
      <c r="CK17" s="276"/>
      <c r="CL17" s="276"/>
      <c r="CM17" s="277"/>
    </row>
    <row r="18" spans="2:91" ht="15.5" x14ac:dyDescent="0.35">
      <c r="B18" s="93">
        <v>9</v>
      </c>
      <c r="C18" s="94">
        <f>Namenlijst!C12</f>
        <v>0</v>
      </c>
      <c r="D18" s="95">
        <f>Namenlijst!D12</f>
        <v>0</v>
      </c>
      <c r="E18" s="96">
        <f>Namenlijst!E12</f>
        <v>0</v>
      </c>
      <c r="F18" s="97">
        <f>Namenlijst!F12</f>
        <v>2</v>
      </c>
      <c r="G18" s="98"/>
      <c r="H18" s="99"/>
      <c r="I18" s="98"/>
      <c r="J18" s="99"/>
      <c r="K18" s="100"/>
      <c r="L18" s="101"/>
      <c r="M18" s="100"/>
      <c r="N18" s="101"/>
      <c r="O18" s="100"/>
      <c r="P18" s="101"/>
      <c r="Q18" s="100"/>
      <c r="R18" s="101"/>
      <c r="S18" s="100"/>
      <c r="T18" s="101"/>
      <c r="U18" s="100"/>
      <c r="V18" s="101"/>
      <c r="W18" s="100"/>
      <c r="X18" s="102"/>
      <c r="Y18" s="98"/>
      <c r="Z18" s="102"/>
      <c r="AA18" s="103"/>
      <c r="AB18" s="99"/>
      <c r="AC18" s="98"/>
      <c r="AD18" s="99"/>
      <c r="AE18" s="100"/>
      <c r="AF18" s="101"/>
      <c r="AG18" s="100"/>
      <c r="AH18" s="101"/>
      <c r="AI18" s="100"/>
      <c r="AJ18" s="101"/>
      <c r="AK18" s="103"/>
      <c r="AL18" s="101"/>
      <c r="AM18" s="100"/>
      <c r="AN18" s="101"/>
      <c r="AO18" s="100"/>
      <c r="AP18" s="101"/>
      <c r="AQ18" s="100"/>
      <c r="AR18" s="102"/>
      <c r="AS18" s="98"/>
      <c r="AT18" s="102"/>
      <c r="AU18" s="103"/>
      <c r="AV18" s="99"/>
      <c r="AW18" s="98"/>
      <c r="AX18" s="99"/>
      <c r="AY18" s="100"/>
      <c r="AZ18" s="101"/>
      <c r="BA18" s="100"/>
      <c r="BB18" s="101"/>
      <c r="BC18" s="100"/>
      <c r="BD18" s="101"/>
      <c r="BE18" s="103"/>
      <c r="BF18" s="102"/>
      <c r="BG18" s="103"/>
      <c r="BH18" s="99"/>
      <c r="BI18" s="98"/>
      <c r="BJ18" s="99"/>
      <c r="BK18" s="100"/>
      <c r="BL18" s="101"/>
      <c r="BM18" s="100"/>
      <c r="BN18" s="101"/>
      <c r="BO18" s="218"/>
      <c r="BP18" s="103"/>
      <c r="BQ18" s="102"/>
      <c r="BR18" s="103"/>
      <c r="BS18" s="99"/>
      <c r="BT18" s="98"/>
      <c r="BU18" s="99"/>
      <c r="BV18" s="100"/>
      <c r="BW18" s="101"/>
      <c r="BX18" s="100"/>
      <c r="BY18" s="101"/>
      <c r="BZ18" s="103"/>
      <c r="CA18" s="101"/>
      <c r="CB18" s="240">
        <f t="shared" si="0"/>
        <v>0</v>
      </c>
      <c r="CC18" s="225">
        <f t="shared" si="1"/>
        <v>0</v>
      </c>
      <c r="CD18" s="126">
        <f t="shared" si="2"/>
        <v>0</v>
      </c>
      <c r="CE18" s="224">
        <f t="shared" si="3"/>
        <v>0</v>
      </c>
      <c r="CF18" s="241">
        <f t="shared" si="4"/>
        <v>0</v>
      </c>
      <c r="CG18" s="275"/>
      <c r="CH18" s="276"/>
      <c r="CI18" s="276"/>
      <c r="CJ18" s="276"/>
      <c r="CK18" s="276"/>
      <c r="CL18" s="276"/>
      <c r="CM18" s="277"/>
    </row>
    <row r="19" spans="2:91" ht="15.5" x14ac:dyDescent="0.35">
      <c r="B19" s="93">
        <v>10</v>
      </c>
      <c r="C19" s="94">
        <f>Namenlijst!C13</f>
        <v>0</v>
      </c>
      <c r="D19" s="95">
        <f>Namenlijst!D13</f>
        <v>0</v>
      </c>
      <c r="E19" s="96">
        <f>Namenlijst!E13</f>
        <v>0</v>
      </c>
      <c r="F19" s="97">
        <f>Namenlijst!F13</f>
        <v>2</v>
      </c>
      <c r="G19" s="98"/>
      <c r="H19" s="99"/>
      <c r="I19" s="98"/>
      <c r="J19" s="99"/>
      <c r="K19" s="100"/>
      <c r="L19" s="101"/>
      <c r="M19" s="100"/>
      <c r="N19" s="101"/>
      <c r="O19" s="100"/>
      <c r="P19" s="101"/>
      <c r="Q19" s="100"/>
      <c r="R19" s="101"/>
      <c r="S19" s="100"/>
      <c r="T19" s="101"/>
      <c r="U19" s="100"/>
      <c r="V19" s="101"/>
      <c r="W19" s="100"/>
      <c r="X19" s="102"/>
      <c r="Y19" s="98"/>
      <c r="Z19" s="102"/>
      <c r="AA19" s="103"/>
      <c r="AB19" s="99"/>
      <c r="AC19" s="98"/>
      <c r="AD19" s="99"/>
      <c r="AE19" s="100"/>
      <c r="AF19" s="101"/>
      <c r="AG19" s="100"/>
      <c r="AH19" s="101"/>
      <c r="AI19" s="100"/>
      <c r="AJ19" s="101"/>
      <c r="AK19" s="103"/>
      <c r="AL19" s="101"/>
      <c r="AM19" s="100"/>
      <c r="AN19" s="101"/>
      <c r="AO19" s="100"/>
      <c r="AP19" s="101"/>
      <c r="AQ19" s="100"/>
      <c r="AR19" s="102"/>
      <c r="AS19" s="98"/>
      <c r="AT19" s="102"/>
      <c r="AU19" s="103"/>
      <c r="AV19" s="99"/>
      <c r="AW19" s="98"/>
      <c r="AX19" s="99"/>
      <c r="AY19" s="100"/>
      <c r="AZ19" s="101"/>
      <c r="BA19" s="100"/>
      <c r="BB19" s="101"/>
      <c r="BC19" s="100"/>
      <c r="BD19" s="101"/>
      <c r="BE19" s="103"/>
      <c r="BF19" s="102"/>
      <c r="BG19" s="103"/>
      <c r="BH19" s="99"/>
      <c r="BI19" s="98"/>
      <c r="BJ19" s="99"/>
      <c r="BK19" s="100"/>
      <c r="BL19" s="101"/>
      <c r="BM19" s="100"/>
      <c r="BN19" s="101"/>
      <c r="BO19" s="218"/>
      <c r="BP19" s="103"/>
      <c r="BQ19" s="102"/>
      <c r="BR19" s="103"/>
      <c r="BS19" s="99"/>
      <c r="BT19" s="98"/>
      <c r="BU19" s="99"/>
      <c r="BV19" s="100"/>
      <c r="BW19" s="101"/>
      <c r="BX19" s="100"/>
      <c r="BY19" s="101"/>
      <c r="BZ19" s="103"/>
      <c r="CA19" s="101"/>
      <c r="CB19" s="240">
        <f t="shared" si="0"/>
        <v>0</v>
      </c>
      <c r="CC19" s="225">
        <f t="shared" si="1"/>
        <v>0</v>
      </c>
      <c r="CD19" s="126">
        <f t="shared" si="2"/>
        <v>0</v>
      </c>
      <c r="CE19" s="224">
        <f t="shared" si="3"/>
        <v>0</v>
      </c>
      <c r="CF19" s="241">
        <f t="shared" si="4"/>
        <v>0</v>
      </c>
      <c r="CG19" s="275"/>
      <c r="CH19" s="276"/>
      <c r="CI19" s="276"/>
      <c r="CJ19" s="276"/>
      <c r="CK19" s="276"/>
      <c r="CL19" s="276"/>
      <c r="CM19" s="277"/>
    </row>
    <row r="20" spans="2:91" ht="15.5" x14ac:dyDescent="0.35">
      <c r="B20" s="93">
        <v>11</v>
      </c>
      <c r="C20" s="94">
        <f>Namenlijst!C14</f>
        <v>0</v>
      </c>
      <c r="D20" s="95">
        <f>Namenlijst!D14</f>
        <v>0</v>
      </c>
      <c r="E20" s="96">
        <f>Namenlijst!E14</f>
        <v>0</v>
      </c>
      <c r="F20" s="97">
        <f>Namenlijst!F14</f>
        <v>2</v>
      </c>
      <c r="G20" s="98"/>
      <c r="H20" s="99"/>
      <c r="I20" s="98"/>
      <c r="J20" s="99"/>
      <c r="K20" s="100"/>
      <c r="L20" s="101"/>
      <c r="M20" s="100"/>
      <c r="N20" s="101"/>
      <c r="O20" s="100"/>
      <c r="P20" s="101"/>
      <c r="Q20" s="100"/>
      <c r="R20" s="101"/>
      <c r="S20" s="100"/>
      <c r="T20" s="101"/>
      <c r="U20" s="100"/>
      <c r="V20" s="101"/>
      <c r="W20" s="100"/>
      <c r="X20" s="102"/>
      <c r="Y20" s="98"/>
      <c r="Z20" s="102"/>
      <c r="AA20" s="103"/>
      <c r="AB20" s="99"/>
      <c r="AC20" s="98"/>
      <c r="AD20" s="99"/>
      <c r="AE20" s="100"/>
      <c r="AF20" s="101"/>
      <c r="AG20" s="100"/>
      <c r="AH20" s="101"/>
      <c r="AI20" s="100"/>
      <c r="AJ20" s="101"/>
      <c r="AK20" s="103"/>
      <c r="AL20" s="101"/>
      <c r="AM20" s="100"/>
      <c r="AN20" s="101"/>
      <c r="AO20" s="100"/>
      <c r="AP20" s="101"/>
      <c r="AQ20" s="100"/>
      <c r="AR20" s="102"/>
      <c r="AS20" s="98"/>
      <c r="AT20" s="102"/>
      <c r="AU20" s="103"/>
      <c r="AV20" s="99"/>
      <c r="AW20" s="98"/>
      <c r="AX20" s="99"/>
      <c r="AY20" s="100"/>
      <c r="AZ20" s="101"/>
      <c r="BA20" s="100"/>
      <c r="BB20" s="101"/>
      <c r="BC20" s="100"/>
      <c r="BD20" s="101"/>
      <c r="BE20" s="103"/>
      <c r="BF20" s="102"/>
      <c r="BG20" s="103"/>
      <c r="BH20" s="99"/>
      <c r="BI20" s="98"/>
      <c r="BJ20" s="99"/>
      <c r="BK20" s="100"/>
      <c r="BL20" s="101"/>
      <c r="BM20" s="100"/>
      <c r="BN20" s="101"/>
      <c r="BO20" s="218"/>
      <c r="BP20" s="103"/>
      <c r="BQ20" s="102"/>
      <c r="BR20" s="103"/>
      <c r="BS20" s="99"/>
      <c r="BT20" s="98"/>
      <c r="BU20" s="99"/>
      <c r="BV20" s="100"/>
      <c r="BW20" s="101"/>
      <c r="BX20" s="100"/>
      <c r="BY20" s="101"/>
      <c r="BZ20" s="103"/>
      <c r="CA20" s="101"/>
      <c r="CB20" s="240">
        <f t="shared" si="0"/>
        <v>0</v>
      </c>
      <c r="CC20" s="225">
        <f t="shared" si="1"/>
        <v>0</v>
      </c>
      <c r="CD20" s="126">
        <f t="shared" si="2"/>
        <v>0</v>
      </c>
      <c r="CE20" s="224">
        <f t="shared" si="3"/>
        <v>0</v>
      </c>
      <c r="CF20" s="241">
        <f t="shared" si="4"/>
        <v>0</v>
      </c>
      <c r="CG20" s="275"/>
      <c r="CH20" s="276"/>
      <c r="CI20" s="276"/>
      <c r="CJ20" s="276"/>
      <c r="CK20" s="276"/>
      <c r="CL20" s="276"/>
      <c r="CM20" s="277"/>
    </row>
    <row r="21" spans="2:91" ht="15.5" x14ac:dyDescent="0.35">
      <c r="B21" s="93">
        <v>12</v>
      </c>
      <c r="C21" s="94">
        <f>Namenlijst!C15</f>
        <v>0</v>
      </c>
      <c r="D21" s="95">
        <f>Namenlijst!D15</f>
        <v>0</v>
      </c>
      <c r="E21" s="96">
        <f>Namenlijst!E15</f>
        <v>0</v>
      </c>
      <c r="F21" s="97">
        <f>Namenlijst!F15</f>
        <v>2</v>
      </c>
      <c r="G21" s="98"/>
      <c r="H21" s="99"/>
      <c r="I21" s="98"/>
      <c r="J21" s="99"/>
      <c r="K21" s="100"/>
      <c r="L21" s="101"/>
      <c r="M21" s="100"/>
      <c r="N21" s="101"/>
      <c r="O21" s="100"/>
      <c r="P21" s="101"/>
      <c r="Q21" s="100"/>
      <c r="R21" s="101"/>
      <c r="S21" s="100"/>
      <c r="T21" s="101"/>
      <c r="U21" s="100"/>
      <c r="V21" s="101"/>
      <c r="W21" s="100"/>
      <c r="X21" s="102"/>
      <c r="Y21" s="98"/>
      <c r="Z21" s="102"/>
      <c r="AA21" s="103"/>
      <c r="AB21" s="99"/>
      <c r="AC21" s="98"/>
      <c r="AD21" s="99"/>
      <c r="AE21" s="100"/>
      <c r="AF21" s="101"/>
      <c r="AG21" s="100"/>
      <c r="AH21" s="101"/>
      <c r="AI21" s="100"/>
      <c r="AJ21" s="101"/>
      <c r="AK21" s="103"/>
      <c r="AL21" s="101"/>
      <c r="AM21" s="100"/>
      <c r="AN21" s="101"/>
      <c r="AO21" s="100"/>
      <c r="AP21" s="101"/>
      <c r="AQ21" s="100"/>
      <c r="AR21" s="102"/>
      <c r="AS21" s="98"/>
      <c r="AT21" s="102"/>
      <c r="AU21" s="103"/>
      <c r="AV21" s="99"/>
      <c r="AW21" s="98"/>
      <c r="AX21" s="99"/>
      <c r="AY21" s="100"/>
      <c r="AZ21" s="101"/>
      <c r="BA21" s="100"/>
      <c r="BB21" s="101"/>
      <c r="BC21" s="100"/>
      <c r="BD21" s="101"/>
      <c r="BE21" s="103"/>
      <c r="BF21" s="102"/>
      <c r="BG21" s="103"/>
      <c r="BH21" s="99"/>
      <c r="BI21" s="98"/>
      <c r="BJ21" s="99"/>
      <c r="BK21" s="100"/>
      <c r="BL21" s="101"/>
      <c r="BM21" s="100"/>
      <c r="BN21" s="101"/>
      <c r="BO21" s="218"/>
      <c r="BP21" s="103"/>
      <c r="BQ21" s="102"/>
      <c r="BR21" s="103"/>
      <c r="BS21" s="99"/>
      <c r="BT21" s="98"/>
      <c r="BU21" s="99"/>
      <c r="BV21" s="100"/>
      <c r="BW21" s="101"/>
      <c r="BX21" s="100"/>
      <c r="BY21" s="101"/>
      <c r="BZ21" s="103"/>
      <c r="CA21" s="101"/>
      <c r="CB21" s="240">
        <f t="shared" si="0"/>
        <v>0</v>
      </c>
      <c r="CC21" s="225">
        <f t="shared" si="1"/>
        <v>0</v>
      </c>
      <c r="CD21" s="126">
        <f t="shared" si="2"/>
        <v>0</v>
      </c>
      <c r="CE21" s="224">
        <f t="shared" si="3"/>
        <v>0</v>
      </c>
      <c r="CF21" s="241">
        <f t="shared" si="4"/>
        <v>0</v>
      </c>
      <c r="CG21" s="275"/>
      <c r="CH21" s="276"/>
      <c r="CI21" s="276"/>
      <c r="CJ21" s="276"/>
      <c r="CK21" s="276"/>
      <c r="CL21" s="276"/>
      <c r="CM21" s="277"/>
    </row>
    <row r="22" spans="2:91" ht="15.5" x14ac:dyDescent="0.35">
      <c r="B22" s="93">
        <v>13</v>
      </c>
      <c r="C22" s="94">
        <f>Namenlijst!C16</f>
        <v>0</v>
      </c>
      <c r="D22" s="95">
        <f>Namenlijst!D16</f>
        <v>0</v>
      </c>
      <c r="E22" s="96">
        <f>Namenlijst!E16</f>
        <v>0</v>
      </c>
      <c r="F22" s="97">
        <f>Namenlijst!F16</f>
        <v>2</v>
      </c>
      <c r="G22" s="98"/>
      <c r="H22" s="99"/>
      <c r="I22" s="98"/>
      <c r="J22" s="99"/>
      <c r="K22" s="100"/>
      <c r="L22" s="101"/>
      <c r="M22" s="100"/>
      <c r="N22" s="101"/>
      <c r="O22" s="100"/>
      <c r="P22" s="101"/>
      <c r="Q22" s="100"/>
      <c r="R22" s="101"/>
      <c r="S22" s="100"/>
      <c r="T22" s="101"/>
      <c r="U22" s="100"/>
      <c r="V22" s="101"/>
      <c r="W22" s="100"/>
      <c r="X22" s="102"/>
      <c r="Y22" s="98"/>
      <c r="Z22" s="102"/>
      <c r="AA22" s="103"/>
      <c r="AB22" s="99"/>
      <c r="AC22" s="98"/>
      <c r="AD22" s="99"/>
      <c r="AE22" s="100"/>
      <c r="AF22" s="101"/>
      <c r="AG22" s="100"/>
      <c r="AH22" s="101"/>
      <c r="AI22" s="100"/>
      <c r="AJ22" s="101"/>
      <c r="AK22" s="103"/>
      <c r="AL22" s="101"/>
      <c r="AM22" s="100"/>
      <c r="AN22" s="101"/>
      <c r="AO22" s="100"/>
      <c r="AP22" s="101"/>
      <c r="AQ22" s="100"/>
      <c r="AR22" s="102"/>
      <c r="AS22" s="98"/>
      <c r="AT22" s="102"/>
      <c r="AU22" s="103"/>
      <c r="AV22" s="99"/>
      <c r="AW22" s="98"/>
      <c r="AX22" s="99"/>
      <c r="AY22" s="100"/>
      <c r="AZ22" s="101"/>
      <c r="BA22" s="100"/>
      <c r="BB22" s="101"/>
      <c r="BC22" s="100"/>
      <c r="BD22" s="101"/>
      <c r="BE22" s="103"/>
      <c r="BF22" s="102"/>
      <c r="BG22" s="103"/>
      <c r="BH22" s="99"/>
      <c r="BI22" s="98"/>
      <c r="BJ22" s="99"/>
      <c r="BK22" s="100"/>
      <c r="BL22" s="101"/>
      <c r="BM22" s="100"/>
      <c r="BN22" s="101"/>
      <c r="BO22" s="218"/>
      <c r="BP22" s="103"/>
      <c r="BQ22" s="102"/>
      <c r="BR22" s="103"/>
      <c r="BS22" s="99"/>
      <c r="BT22" s="98"/>
      <c r="BU22" s="99"/>
      <c r="BV22" s="100"/>
      <c r="BW22" s="101"/>
      <c r="BX22" s="100"/>
      <c r="BY22" s="101"/>
      <c r="BZ22" s="103"/>
      <c r="CA22" s="101"/>
      <c r="CB22" s="240">
        <f t="shared" si="0"/>
        <v>0</v>
      </c>
      <c r="CC22" s="225">
        <f t="shared" si="1"/>
        <v>0</v>
      </c>
      <c r="CD22" s="126">
        <f t="shared" si="2"/>
        <v>0</v>
      </c>
      <c r="CE22" s="224">
        <f t="shared" si="3"/>
        <v>0</v>
      </c>
      <c r="CF22" s="241">
        <f t="shared" si="4"/>
        <v>0</v>
      </c>
      <c r="CG22" s="275"/>
      <c r="CH22" s="276"/>
      <c r="CI22" s="276"/>
      <c r="CJ22" s="276"/>
      <c r="CK22" s="276"/>
      <c r="CL22" s="276"/>
      <c r="CM22" s="277"/>
    </row>
    <row r="23" spans="2:91" ht="15.5" x14ac:dyDescent="0.35">
      <c r="B23" s="93">
        <v>14</v>
      </c>
      <c r="C23" s="94">
        <f>Namenlijst!C17</f>
        <v>0</v>
      </c>
      <c r="D23" s="95">
        <f>Namenlijst!D17</f>
        <v>0</v>
      </c>
      <c r="E23" s="96">
        <f>Namenlijst!E17</f>
        <v>0</v>
      </c>
      <c r="F23" s="97">
        <f>Namenlijst!F17</f>
        <v>2</v>
      </c>
      <c r="G23" s="98"/>
      <c r="H23" s="99"/>
      <c r="I23" s="98"/>
      <c r="J23" s="99"/>
      <c r="K23" s="100"/>
      <c r="L23" s="101"/>
      <c r="M23" s="100"/>
      <c r="N23" s="101"/>
      <c r="O23" s="100"/>
      <c r="P23" s="101"/>
      <c r="Q23" s="100"/>
      <c r="R23" s="101"/>
      <c r="S23" s="100"/>
      <c r="T23" s="101"/>
      <c r="U23" s="100"/>
      <c r="V23" s="101"/>
      <c r="W23" s="100"/>
      <c r="X23" s="102"/>
      <c r="Y23" s="98"/>
      <c r="Z23" s="102"/>
      <c r="AA23" s="103"/>
      <c r="AB23" s="99"/>
      <c r="AC23" s="98"/>
      <c r="AD23" s="99"/>
      <c r="AE23" s="100"/>
      <c r="AF23" s="101"/>
      <c r="AG23" s="100"/>
      <c r="AH23" s="101"/>
      <c r="AI23" s="100"/>
      <c r="AJ23" s="101"/>
      <c r="AK23" s="103"/>
      <c r="AL23" s="101"/>
      <c r="AM23" s="100"/>
      <c r="AN23" s="101"/>
      <c r="AO23" s="100"/>
      <c r="AP23" s="101"/>
      <c r="AQ23" s="100"/>
      <c r="AR23" s="102"/>
      <c r="AS23" s="98"/>
      <c r="AT23" s="102"/>
      <c r="AU23" s="103"/>
      <c r="AV23" s="99"/>
      <c r="AW23" s="98"/>
      <c r="AX23" s="99"/>
      <c r="AY23" s="100"/>
      <c r="AZ23" s="101"/>
      <c r="BA23" s="100"/>
      <c r="BB23" s="101"/>
      <c r="BC23" s="100"/>
      <c r="BD23" s="101"/>
      <c r="BE23" s="103"/>
      <c r="BF23" s="102"/>
      <c r="BG23" s="103"/>
      <c r="BH23" s="99"/>
      <c r="BI23" s="98"/>
      <c r="BJ23" s="99"/>
      <c r="BK23" s="100"/>
      <c r="BL23" s="101"/>
      <c r="BM23" s="100"/>
      <c r="BN23" s="101"/>
      <c r="BO23" s="218"/>
      <c r="BP23" s="103"/>
      <c r="BQ23" s="102"/>
      <c r="BR23" s="103"/>
      <c r="BS23" s="99"/>
      <c r="BT23" s="98"/>
      <c r="BU23" s="99"/>
      <c r="BV23" s="100"/>
      <c r="BW23" s="101"/>
      <c r="BX23" s="100"/>
      <c r="BY23" s="101"/>
      <c r="BZ23" s="103"/>
      <c r="CA23" s="101"/>
      <c r="CB23" s="240">
        <f t="shared" si="0"/>
        <v>0</v>
      </c>
      <c r="CC23" s="225">
        <f t="shared" si="1"/>
        <v>0</v>
      </c>
      <c r="CD23" s="126">
        <f t="shared" si="2"/>
        <v>0</v>
      </c>
      <c r="CE23" s="224">
        <f t="shared" si="3"/>
        <v>0</v>
      </c>
      <c r="CF23" s="241">
        <f t="shared" si="4"/>
        <v>0</v>
      </c>
      <c r="CG23" s="275"/>
      <c r="CH23" s="276"/>
      <c r="CI23" s="276"/>
      <c r="CJ23" s="276"/>
      <c r="CK23" s="276"/>
      <c r="CL23" s="276"/>
      <c r="CM23" s="277"/>
    </row>
    <row r="24" spans="2:91" ht="15.5" x14ac:dyDescent="0.35">
      <c r="B24" s="93">
        <v>15</v>
      </c>
      <c r="C24" s="94">
        <f>Namenlijst!C18</f>
        <v>0</v>
      </c>
      <c r="D24" s="95">
        <f>Namenlijst!D18</f>
        <v>0</v>
      </c>
      <c r="E24" s="96">
        <f>Namenlijst!E18</f>
        <v>0</v>
      </c>
      <c r="F24" s="97">
        <f>Namenlijst!F18</f>
        <v>2</v>
      </c>
      <c r="G24" s="98"/>
      <c r="H24" s="99"/>
      <c r="I24" s="98"/>
      <c r="J24" s="99"/>
      <c r="K24" s="100"/>
      <c r="L24" s="101"/>
      <c r="M24" s="100"/>
      <c r="N24" s="101"/>
      <c r="O24" s="100"/>
      <c r="P24" s="101"/>
      <c r="Q24" s="100"/>
      <c r="R24" s="101"/>
      <c r="S24" s="100"/>
      <c r="T24" s="101"/>
      <c r="U24" s="100"/>
      <c r="V24" s="101"/>
      <c r="W24" s="100"/>
      <c r="X24" s="102"/>
      <c r="Y24" s="98"/>
      <c r="Z24" s="102"/>
      <c r="AA24" s="103"/>
      <c r="AB24" s="99"/>
      <c r="AC24" s="98"/>
      <c r="AD24" s="99"/>
      <c r="AE24" s="100"/>
      <c r="AF24" s="101"/>
      <c r="AG24" s="100"/>
      <c r="AH24" s="101"/>
      <c r="AI24" s="100"/>
      <c r="AJ24" s="101"/>
      <c r="AK24" s="103"/>
      <c r="AL24" s="101"/>
      <c r="AM24" s="100"/>
      <c r="AN24" s="101"/>
      <c r="AO24" s="100"/>
      <c r="AP24" s="101"/>
      <c r="AQ24" s="100"/>
      <c r="AR24" s="102"/>
      <c r="AS24" s="98"/>
      <c r="AT24" s="102"/>
      <c r="AU24" s="103"/>
      <c r="AV24" s="99"/>
      <c r="AW24" s="98"/>
      <c r="AX24" s="99"/>
      <c r="AY24" s="100"/>
      <c r="AZ24" s="101"/>
      <c r="BA24" s="100"/>
      <c r="BB24" s="101"/>
      <c r="BC24" s="100"/>
      <c r="BD24" s="101"/>
      <c r="BE24" s="103"/>
      <c r="BF24" s="102"/>
      <c r="BG24" s="103"/>
      <c r="BH24" s="99"/>
      <c r="BI24" s="98"/>
      <c r="BJ24" s="99"/>
      <c r="BK24" s="100"/>
      <c r="BL24" s="101"/>
      <c r="BM24" s="100"/>
      <c r="BN24" s="101"/>
      <c r="BO24" s="218"/>
      <c r="BP24" s="103"/>
      <c r="BQ24" s="102"/>
      <c r="BR24" s="103"/>
      <c r="BS24" s="99"/>
      <c r="BT24" s="98"/>
      <c r="BU24" s="99"/>
      <c r="BV24" s="100"/>
      <c r="BW24" s="101"/>
      <c r="BX24" s="100"/>
      <c r="BY24" s="101"/>
      <c r="BZ24" s="103"/>
      <c r="CA24" s="101"/>
      <c r="CB24" s="240">
        <f t="shared" si="0"/>
        <v>0</v>
      </c>
      <c r="CC24" s="225">
        <f t="shared" si="1"/>
        <v>0</v>
      </c>
      <c r="CD24" s="126">
        <f t="shared" si="2"/>
        <v>0</v>
      </c>
      <c r="CE24" s="224">
        <f t="shared" si="3"/>
        <v>0</v>
      </c>
      <c r="CF24" s="241">
        <f t="shared" si="4"/>
        <v>0</v>
      </c>
      <c r="CG24" s="275"/>
      <c r="CH24" s="276"/>
      <c r="CI24" s="276"/>
      <c r="CJ24" s="276"/>
      <c r="CK24" s="276"/>
      <c r="CL24" s="276"/>
      <c r="CM24" s="277"/>
    </row>
    <row r="25" spans="2:91" ht="15.5" x14ac:dyDescent="0.35">
      <c r="B25" s="93">
        <v>16</v>
      </c>
      <c r="C25" s="94">
        <f>Namenlijst!C19</f>
        <v>0</v>
      </c>
      <c r="D25" s="95">
        <f>Namenlijst!D19</f>
        <v>0</v>
      </c>
      <c r="E25" s="96">
        <f>Namenlijst!E19</f>
        <v>0</v>
      </c>
      <c r="F25" s="97">
        <f>Namenlijst!F19</f>
        <v>2</v>
      </c>
      <c r="G25" s="98"/>
      <c r="H25" s="99"/>
      <c r="I25" s="98"/>
      <c r="J25" s="99"/>
      <c r="K25" s="100"/>
      <c r="L25" s="101"/>
      <c r="M25" s="100"/>
      <c r="N25" s="101"/>
      <c r="O25" s="100"/>
      <c r="P25" s="101"/>
      <c r="Q25" s="100"/>
      <c r="R25" s="101"/>
      <c r="S25" s="100"/>
      <c r="T25" s="101"/>
      <c r="U25" s="100"/>
      <c r="V25" s="101"/>
      <c r="W25" s="100"/>
      <c r="X25" s="102"/>
      <c r="Y25" s="98"/>
      <c r="Z25" s="102"/>
      <c r="AA25" s="103"/>
      <c r="AB25" s="99"/>
      <c r="AC25" s="98"/>
      <c r="AD25" s="99"/>
      <c r="AE25" s="100"/>
      <c r="AF25" s="101"/>
      <c r="AG25" s="100"/>
      <c r="AH25" s="101"/>
      <c r="AI25" s="100"/>
      <c r="AJ25" s="101"/>
      <c r="AK25" s="103"/>
      <c r="AL25" s="101"/>
      <c r="AM25" s="100"/>
      <c r="AN25" s="101"/>
      <c r="AO25" s="100"/>
      <c r="AP25" s="101"/>
      <c r="AQ25" s="100"/>
      <c r="AR25" s="102"/>
      <c r="AS25" s="98"/>
      <c r="AT25" s="102"/>
      <c r="AU25" s="103"/>
      <c r="AV25" s="99"/>
      <c r="AW25" s="98"/>
      <c r="AX25" s="99"/>
      <c r="AY25" s="100"/>
      <c r="AZ25" s="101"/>
      <c r="BA25" s="100"/>
      <c r="BB25" s="101"/>
      <c r="BC25" s="100"/>
      <c r="BD25" s="101"/>
      <c r="BE25" s="103"/>
      <c r="BF25" s="102"/>
      <c r="BG25" s="103"/>
      <c r="BH25" s="99"/>
      <c r="BI25" s="98"/>
      <c r="BJ25" s="99"/>
      <c r="BK25" s="100"/>
      <c r="BL25" s="101"/>
      <c r="BM25" s="100"/>
      <c r="BN25" s="101"/>
      <c r="BO25" s="218"/>
      <c r="BP25" s="103"/>
      <c r="BQ25" s="102"/>
      <c r="BR25" s="103"/>
      <c r="BS25" s="99"/>
      <c r="BT25" s="98"/>
      <c r="BU25" s="99"/>
      <c r="BV25" s="100"/>
      <c r="BW25" s="101"/>
      <c r="BX25" s="100"/>
      <c r="BY25" s="101"/>
      <c r="BZ25" s="103"/>
      <c r="CA25" s="101"/>
      <c r="CB25" s="240">
        <f t="shared" si="0"/>
        <v>0</v>
      </c>
      <c r="CC25" s="225">
        <f t="shared" si="1"/>
        <v>0</v>
      </c>
      <c r="CD25" s="126">
        <f t="shared" si="2"/>
        <v>0</v>
      </c>
      <c r="CE25" s="224">
        <f t="shared" si="3"/>
        <v>0</v>
      </c>
      <c r="CF25" s="241">
        <f t="shared" si="4"/>
        <v>0</v>
      </c>
      <c r="CG25" s="275"/>
      <c r="CH25" s="276"/>
      <c r="CI25" s="276"/>
      <c r="CJ25" s="276"/>
      <c r="CK25" s="276"/>
      <c r="CL25" s="276"/>
      <c r="CM25" s="277"/>
    </row>
    <row r="26" spans="2:91" ht="15.5" x14ac:dyDescent="0.35">
      <c r="B26" s="93">
        <v>17</v>
      </c>
      <c r="C26" s="94">
        <f>Namenlijst!C20</f>
        <v>0</v>
      </c>
      <c r="D26" s="95">
        <f>Namenlijst!D20</f>
        <v>0</v>
      </c>
      <c r="E26" s="96">
        <f>Namenlijst!E20</f>
        <v>0</v>
      </c>
      <c r="F26" s="97">
        <f>Namenlijst!F20</f>
        <v>2</v>
      </c>
      <c r="G26" s="98"/>
      <c r="H26" s="99"/>
      <c r="I26" s="98"/>
      <c r="J26" s="99"/>
      <c r="K26" s="100"/>
      <c r="L26" s="101"/>
      <c r="M26" s="100"/>
      <c r="N26" s="101"/>
      <c r="O26" s="100"/>
      <c r="P26" s="101"/>
      <c r="Q26" s="100"/>
      <c r="R26" s="101"/>
      <c r="S26" s="100"/>
      <c r="T26" s="101"/>
      <c r="U26" s="100"/>
      <c r="V26" s="101"/>
      <c r="W26" s="100"/>
      <c r="X26" s="102"/>
      <c r="Y26" s="98"/>
      <c r="Z26" s="102"/>
      <c r="AA26" s="103"/>
      <c r="AB26" s="99"/>
      <c r="AC26" s="98"/>
      <c r="AD26" s="99"/>
      <c r="AE26" s="100"/>
      <c r="AF26" s="101"/>
      <c r="AG26" s="100"/>
      <c r="AH26" s="101"/>
      <c r="AI26" s="100"/>
      <c r="AJ26" s="101"/>
      <c r="AK26" s="103"/>
      <c r="AL26" s="101"/>
      <c r="AM26" s="100"/>
      <c r="AN26" s="101"/>
      <c r="AO26" s="100"/>
      <c r="AP26" s="101"/>
      <c r="AQ26" s="100"/>
      <c r="AR26" s="102"/>
      <c r="AS26" s="98"/>
      <c r="AT26" s="102"/>
      <c r="AU26" s="103"/>
      <c r="AV26" s="99"/>
      <c r="AW26" s="98"/>
      <c r="AX26" s="99"/>
      <c r="AY26" s="100"/>
      <c r="AZ26" s="101"/>
      <c r="BA26" s="100"/>
      <c r="BB26" s="101"/>
      <c r="BC26" s="100"/>
      <c r="BD26" s="101"/>
      <c r="BE26" s="103"/>
      <c r="BF26" s="102"/>
      <c r="BG26" s="103"/>
      <c r="BH26" s="99"/>
      <c r="BI26" s="98"/>
      <c r="BJ26" s="99"/>
      <c r="BK26" s="100"/>
      <c r="BL26" s="101"/>
      <c r="BM26" s="100"/>
      <c r="BN26" s="101"/>
      <c r="BO26" s="218"/>
      <c r="BP26" s="103"/>
      <c r="BQ26" s="102"/>
      <c r="BR26" s="103"/>
      <c r="BS26" s="99"/>
      <c r="BT26" s="98"/>
      <c r="BU26" s="99"/>
      <c r="BV26" s="100"/>
      <c r="BW26" s="101"/>
      <c r="BX26" s="100"/>
      <c r="BY26" s="101"/>
      <c r="BZ26" s="103"/>
      <c r="CA26" s="101"/>
      <c r="CB26" s="240">
        <f t="shared" si="0"/>
        <v>0</v>
      </c>
      <c r="CC26" s="225">
        <f t="shared" si="1"/>
        <v>0</v>
      </c>
      <c r="CD26" s="126">
        <f t="shared" si="2"/>
        <v>0</v>
      </c>
      <c r="CE26" s="224">
        <f t="shared" si="3"/>
        <v>0</v>
      </c>
      <c r="CF26" s="241">
        <f t="shared" si="4"/>
        <v>0</v>
      </c>
      <c r="CG26" s="275"/>
      <c r="CH26" s="276"/>
      <c r="CI26" s="276"/>
      <c r="CJ26" s="276"/>
      <c r="CK26" s="276"/>
      <c r="CL26" s="276"/>
      <c r="CM26" s="277"/>
    </row>
    <row r="27" spans="2:91" ht="15.5" x14ac:dyDescent="0.35">
      <c r="B27" s="93">
        <v>18</v>
      </c>
      <c r="C27" s="94">
        <f>Namenlijst!C21</f>
        <v>0</v>
      </c>
      <c r="D27" s="95">
        <f>Namenlijst!D21</f>
        <v>0</v>
      </c>
      <c r="E27" s="96">
        <f>Namenlijst!E21</f>
        <v>0</v>
      </c>
      <c r="F27" s="97">
        <f>Namenlijst!F21</f>
        <v>2</v>
      </c>
      <c r="G27" s="98"/>
      <c r="H27" s="99"/>
      <c r="I27" s="98"/>
      <c r="J27" s="99"/>
      <c r="K27" s="100"/>
      <c r="L27" s="101"/>
      <c r="M27" s="100"/>
      <c r="N27" s="101"/>
      <c r="O27" s="100"/>
      <c r="P27" s="101"/>
      <c r="Q27" s="100"/>
      <c r="R27" s="101"/>
      <c r="S27" s="100"/>
      <c r="T27" s="101"/>
      <c r="U27" s="100"/>
      <c r="V27" s="101"/>
      <c r="W27" s="100"/>
      <c r="X27" s="102"/>
      <c r="Y27" s="98"/>
      <c r="Z27" s="102"/>
      <c r="AA27" s="103"/>
      <c r="AB27" s="99"/>
      <c r="AC27" s="98"/>
      <c r="AD27" s="99"/>
      <c r="AE27" s="100"/>
      <c r="AF27" s="101"/>
      <c r="AG27" s="100"/>
      <c r="AH27" s="101"/>
      <c r="AI27" s="100"/>
      <c r="AJ27" s="101"/>
      <c r="AK27" s="103"/>
      <c r="AL27" s="101"/>
      <c r="AM27" s="100"/>
      <c r="AN27" s="101"/>
      <c r="AO27" s="100"/>
      <c r="AP27" s="101"/>
      <c r="AQ27" s="100"/>
      <c r="AR27" s="102"/>
      <c r="AS27" s="98"/>
      <c r="AT27" s="102"/>
      <c r="AU27" s="103"/>
      <c r="AV27" s="99"/>
      <c r="AW27" s="98"/>
      <c r="AX27" s="99"/>
      <c r="AY27" s="100"/>
      <c r="AZ27" s="101"/>
      <c r="BA27" s="100"/>
      <c r="BB27" s="101"/>
      <c r="BC27" s="100"/>
      <c r="BD27" s="101"/>
      <c r="BE27" s="103"/>
      <c r="BF27" s="102"/>
      <c r="BG27" s="103"/>
      <c r="BH27" s="99"/>
      <c r="BI27" s="98"/>
      <c r="BJ27" s="99"/>
      <c r="BK27" s="100"/>
      <c r="BL27" s="101"/>
      <c r="BM27" s="100"/>
      <c r="BN27" s="101"/>
      <c r="BO27" s="218"/>
      <c r="BP27" s="103"/>
      <c r="BQ27" s="102"/>
      <c r="BR27" s="103"/>
      <c r="BS27" s="99"/>
      <c r="BT27" s="98"/>
      <c r="BU27" s="99"/>
      <c r="BV27" s="100"/>
      <c r="BW27" s="101"/>
      <c r="BX27" s="100"/>
      <c r="BY27" s="101"/>
      <c r="BZ27" s="103"/>
      <c r="CA27" s="101"/>
      <c r="CB27" s="240">
        <f t="shared" si="0"/>
        <v>0</v>
      </c>
      <c r="CC27" s="225">
        <f t="shared" si="1"/>
        <v>0</v>
      </c>
      <c r="CD27" s="126">
        <f t="shared" si="2"/>
        <v>0</v>
      </c>
      <c r="CE27" s="224">
        <f t="shared" si="3"/>
        <v>0</v>
      </c>
      <c r="CF27" s="241">
        <f t="shared" si="4"/>
        <v>0</v>
      </c>
      <c r="CG27" s="275"/>
      <c r="CH27" s="276"/>
      <c r="CI27" s="276"/>
      <c r="CJ27" s="276"/>
      <c r="CK27" s="276"/>
      <c r="CL27" s="276"/>
      <c r="CM27" s="277"/>
    </row>
    <row r="28" spans="2:91" ht="15.5" x14ac:dyDescent="0.35">
      <c r="B28" s="93">
        <v>19</v>
      </c>
      <c r="C28" s="94">
        <f>Namenlijst!C22</f>
        <v>0</v>
      </c>
      <c r="D28" s="95">
        <f>Namenlijst!D22</f>
        <v>0</v>
      </c>
      <c r="E28" s="96">
        <f>Namenlijst!E22</f>
        <v>0</v>
      </c>
      <c r="F28" s="97">
        <f>Namenlijst!F22</f>
        <v>2</v>
      </c>
      <c r="G28" s="98"/>
      <c r="H28" s="99"/>
      <c r="I28" s="98"/>
      <c r="J28" s="99"/>
      <c r="K28" s="100"/>
      <c r="L28" s="101"/>
      <c r="M28" s="100"/>
      <c r="N28" s="101"/>
      <c r="O28" s="100"/>
      <c r="P28" s="101"/>
      <c r="Q28" s="100"/>
      <c r="R28" s="101"/>
      <c r="S28" s="100"/>
      <c r="T28" s="101"/>
      <c r="U28" s="100"/>
      <c r="V28" s="101"/>
      <c r="W28" s="100"/>
      <c r="X28" s="102"/>
      <c r="Y28" s="98"/>
      <c r="Z28" s="102"/>
      <c r="AA28" s="103"/>
      <c r="AB28" s="99"/>
      <c r="AC28" s="98"/>
      <c r="AD28" s="99"/>
      <c r="AE28" s="100"/>
      <c r="AF28" s="101"/>
      <c r="AG28" s="100"/>
      <c r="AH28" s="101"/>
      <c r="AI28" s="100"/>
      <c r="AJ28" s="101"/>
      <c r="AK28" s="103"/>
      <c r="AL28" s="101"/>
      <c r="AM28" s="100"/>
      <c r="AN28" s="101"/>
      <c r="AO28" s="100"/>
      <c r="AP28" s="101"/>
      <c r="AQ28" s="100"/>
      <c r="AR28" s="102"/>
      <c r="AS28" s="98"/>
      <c r="AT28" s="102"/>
      <c r="AU28" s="103"/>
      <c r="AV28" s="99"/>
      <c r="AW28" s="98"/>
      <c r="AX28" s="99"/>
      <c r="AY28" s="100"/>
      <c r="AZ28" s="101"/>
      <c r="BA28" s="100"/>
      <c r="BB28" s="101"/>
      <c r="BC28" s="100"/>
      <c r="BD28" s="101"/>
      <c r="BE28" s="103"/>
      <c r="BF28" s="102"/>
      <c r="BG28" s="103"/>
      <c r="BH28" s="99"/>
      <c r="BI28" s="98"/>
      <c r="BJ28" s="99"/>
      <c r="BK28" s="100"/>
      <c r="BL28" s="101"/>
      <c r="BM28" s="100"/>
      <c r="BN28" s="101"/>
      <c r="BO28" s="218"/>
      <c r="BP28" s="103"/>
      <c r="BQ28" s="102"/>
      <c r="BR28" s="103"/>
      <c r="BS28" s="99"/>
      <c r="BT28" s="98"/>
      <c r="BU28" s="99"/>
      <c r="BV28" s="100"/>
      <c r="BW28" s="101"/>
      <c r="BX28" s="100"/>
      <c r="BY28" s="101"/>
      <c r="BZ28" s="103"/>
      <c r="CA28" s="101"/>
      <c r="CB28" s="240">
        <f t="shared" si="0"/>
        <v>0</v>
      </c>
      <c r="CC28" s="225">
        <f t="shared" si="1"/>
        <v>0</v>
      </c>
      <c r="CD28" s="126">
        <f t="shared" si="2"/>
        <v>0</v>
      </c>
      <c r="CE28" s="224">
        <f t="shared" si="3"/>
        <v>0</v>
      </c>
      <c r="CF28" s="241">
        <f t="shared" si="4"/>
        <v>0</v>
      </c>
      <c r="CG28" s="275"/>
      <c r="CH28" s="276"/>
      <c r="CI28" s="276"/>
      <c r="CJ28" s="276"/>
      <c r="CK28" s="276"/>
      <c r="CL28" s="276"/>
      <c r="CM28" s="277"/>
    </row>
    <row r="29" spans="2:91" ht="16" thickBot="1" x14ac:dyDescent="0.4">
      <c r="B29" s="104">
        <v>20</v>
      </c>
      <c r="C29" s="105">
        <f>Namenlijst!C23</f>
        <v>0</v>
      </c>
      <c r="D29" s="106">
        <f>Namenlijst!D23</f>
        <v>0</v>
      </c>
      <c r="E29" s="107">
        <f>Namenlijst!E23</f>
        <v>0</v>
      </c>
      <c r="F29" s="108">
        <f>Namenlijst!F23</f>
        <v>2</v>
      </c>
      <c r="G29" s="109"/>
      <c r="H29" s="110"/>
      <c r="I29" s="109"/>
      <c r="J29" s="110"/>
      <c r="K29" s="111"/>
      <c r="L29" s="112"/>
      <c r="M29" s="111"/>
      <c r="N29" s="112"/>
      <c r="O29" s="111"/>
      <c r="P29" s="112"/>
      <c r="Q29" s="111"/>
      <c r="R29" s="112"/>
      <c r="S29" s="111"/>
      <c r="T29" s="112"/>
      <c r="U29" s="111"/>
      <c r="V29" s="112"/>
      <c r="W29" s="111"/>
      <c r="X29" s="113"/>
      <c r="Y29" s="109"/>
      <c r="Z29" s="113"/>
      <c r="AA29" s="114"/>
      <c r="AB29" s="110"/>
      <c r="AC29" s="109"/>
      <c r="AD29" s="110"/>
      <c r="AE29" s="111"/>
      <c r="AF29" s="112"/>
      <c r="AG29" s="111"/>
      <c r="AH29" s="112"/>
      <c r="AI29" s="111"/>
      <c r="AJ29" s="112"/>
      <c r="AK29" s="114"/>
      <c r="AL29" s="112"/>
      <c r="AM29" s="111"/>
      <c r="AN29" s="112"/>
      <c r="AO29" s="111"/>
      <c r="AP29" s="112"/>
      <c r="AQ29" s="111"/>
      <c r="AR29" s="113"/>
      <c r="AS29" s="109"/>
      <c r="AT29" s="113"/>
      <c r="AU29" s="114"/>
      <c r="AV29" s="110"/>
      <c r="AW29" s="109"/>
      <c r="AX29" s="110"/>
      <c r="AY29" s="111"/>
      <c r="AZ29" s="112"/>
      <c r="BA29" s="111"/>
      <c r="BB29" s="112"/>
      <c r="BC29" s="111"/>
      <c r="BD29" s="112"/>
      <c r="BE29" s="114"/>
      <c r="BF29" s="113"/>
      <c r="BG29" s="114"/>
      <c r="BH29" s="110"/>
      <c r="BI29" s="109"/>
      <c r="BJ29" s="110"/>
      <c r="BK29" s="111"/>
      <c r="BL29" s="112"/>
      <c r="BM29" s="111"/>
      <c r="BN29" s="112"/>
      <c r="BO29" s="219"/>
      <c r="BP29" s="114"/>
      <c r="BQ29" s="113"/>
      <c r="BR29" s="114"/>
      <c r="BS29" s="110"/>
      <c r="BT29" s="109"/>
      <c r="BU29" s="110"/>
      <c r="BV29" s="111"/>
      <c r="BW29" s="112"/>
      <c r="BX29" s="111"/>
      <c r="BY29" s="112"/>
      <c r="BZ29" s="114"/>
      <c r="CA29" s="112"/>
      <c r="CB29" s="242">
        <f t="shared" si="0"/>
        <v>0</v>
      </c>
      <c r="CC29" s="243">
        <f t="shared" si="1"/>
        <v>0</v>
      </c>
      <c r="CD29" s="127">
        <f t="shared" si="2"/>
        <v>0</v>
      </c>
      <c r="CE29" s="244">
        <f t="shared" si="3"/>
        <v>0</v>
      </c>
      <c r="CF29" s="245">
        <f t="shared" si="4"/>
        <v>0</v>
      </c>
      <c r="CG29" s="287"/>
      <c r="CH29" s="288"/>
      <c r="CI29" s="288"/>
      <c r="CJ29" s="288"/>
      <c r="CK29" s="288"/>
      <c r="CL29" s="288"/>
      <c r="CM29" s="289"/>
    </row>
    <row r="30" spans="2:91" ht="16" hidden="1" thickTop="1" x14ac:dyDescent="0.35">
      <c r="B30" s="115"/>
      <c r="C30" s="116" t="s">
        <v>78</v>
      </c>
      <c r="D30" s="115"/>
      <c r="E30" s="115"/>
      <c r="F30" s="115"/>
      <c r="G30" s="115">
        <f>COUNTIF(G10:G29,1)</f>
        <v>0</v>
      </c>
      <c r="H30" s="115"/>
      <c r="I30" s="115">
        <f>COUNTIF(I10:I29,1)</f>
        <v>0</v>
      </c>
      <c r="J30" s="115"/>
      <c r="K30" s="115">
        <f>COUNTIF(K10:K29,1)</f>
        <v>0</v>
      </c>
      <c r="L30" s="115"/>
      <c r="M30" s="115">
        <f>COUNTIF(M10:M29,1)</f>
        <v>0</v>
      </c>
      <c r="N30" s="115"/>
      <c r="O30" s="115">
        <f>COUNTIF(O10:O29,1)</f>
        <v>0</v>
      </c>
      <c r="P30" s="115"/>
      <c r="Q30" s="115">
        <f>COUNTIF(Q10:Q29,1)</f>
        <v>0</v>
      </c>
      <c r="R30" s="115"/>
      <c r="S30" s="115">
        <f>COUNTIF(S10:S29,1)</f>
        <v>0</v>
      </c>
      <c r="T30" s="115"/>
      <c r="U30" s="115">
        <f>COUNTIF(U10:U29,1)</f>
        <v>0</v>
      </c>
      <c r="V30" s="115"/>
      <c r="W30" s="115">
        <f>COUNTIF(W10:W29,1)</f>
        <v>0</v>
      </c>
      <c r="X30" s="115"/>
      <c r="Y30" s="115">
        <f>COUNTIF(Y10:Y29,1)</f>
        <v>0</v>
      </c>
      <c r="Z30" s="115"/>
      <c r="AA30" s="115">
        <f>COUNTIF(AA10:AA29,1)</f>
        <v>0</v>
      </c>
      <c r="AB30" s="115"/>
      <c r="AC30" s="115">
        <f>COUNTIF(AC10:AC29,1)</f>
        <v>0</v>
      </c>
      <c r="AD30" s="115"/>
      <c r="AE30" s="115">
        <f>COUNTIF(AE10:AE29,1)</f>
        <v>0</v>
      </c>
      <c r="AF30" s="115"/>
      <c r="AG30" s="115">
        <f>COUNTIF(AG10:AG29,1)</f>
        <v>1</v>
      </c>
      <c r="AH30" s="115"/>
      <c r="AI30" s="115">
        <f>COUNTIF(AI10:AI29,1)</f>
        <v>0</v>
      </c>
      <c r="AJ30" s="115"/>
      <c r="AK30" s="115">
        <f>COUNTIF(AK10:AK29,1)</f>
        <v>0</v>
      </c>
      <c r="AL30" s="115"/>
      <c r="AM30" s="115">
        <f>COUNTIF(AM10:AM29,1)</f>
        <v>0</v>
      </c>
      <c r="AN30" s="115"/>
      <c r="AO30" s="115">
        <f>COUNTIF(AO10:AO29,1)</f>
        <v>0</v>
      </c>
      <c r="AP30" s="115"/>
      <c r="AQ30" s="115">
        <f>COUNTIF(AQ10:AQ29,1)</f>
        <v>0</v>
      </c>
      <c r="AR30" s="115"/>
      <c r="AS30" s="115">
        <f>COUNTIF(AS10:AS29,1)</f>
        <v>0</v>
      </c>
      <c r="AT30" s="115"/>
      <c r="AU30" s="115">
        <f>COUNTIF(AU10:AU29,1)</f>
        <v>0</v>
      </c>
      <c r="AV30" s="115"/>
      <c r="AW30" s="115">
        <f>COUNTIF(AW10:AW29,1)</f>
        <v>0</v>
      </c>
      <c r="AX30" s="115"/>
      <c r="AY30" s="115">
        <f>COUNTIF(AY10:AY29,1)</f>
        <v>0</v>
      </c>
      <c r="AZ30" s="115"/>
      <c r="BA30" s="115">
        <f>COUNTIF(BA10:BA29,1)</f>
        <v>0</v>
      </c>
      <c r="BB30" s="115"/>
      <c r="BC30" s="115">
        <f>COUNTIF(BC10:BC29,1)</f>
        <v>2</v>
      </c>
      <c r="BD30" s="115"/>
      <c r="BE30" s="115">
        <f>COUNTIF(BE10:BE29,1)</f>
        <v>0</v>
      </c>
      <c r="BF30" s="115"/>
      <c r="BG30" s="115">
        <f>COUNTIF(BG10:BG29,1)</f>
        <v>0</v>
      </c>
      <c r="BH30" s="117"/>
      <c r="BI30" s="115">
        <f>COUNTIF(BI10:BI29,1)</f>
        <v>0</v>
      </c>
      <c r="BJ30" s="115"/>
      <c r="BK30" s="115">
        <f>COUNTIF(BK10:BK29,1)</f>
        <v>0</v>
      </c>
      <c r="BL30" s="115"/>
      <c r="BM30" s="115">
        <f>COUNTIF(BM10:BM29,1)</f>
        <v>0</v>
      </c>
      <c r="BN30" s="115"/>
      <c r="BO30" s="115"/>
      <c r="BP30" s="115">
        <f>COUNTIF(BP10:BP29,1)</f>
        <v>0</v>
      </c>
      <c r="BQ30" s="115"/>
      <c r="BR30" s="115">
        <f>COUNTIF(BR10:BR29,1)</f>
        <v>0</v>
      </c>
      <c r="BS30" s="115"/>
      <c r="BT30" s="115">
        <f>COUNTIF(BT10:BT29,1)</f>
        <v>0</v>
      </c>
      <c r="BU30" s="115"/>
      <c r="BV30" s="115">
        <f>COUNTIF(BV10:BV29,1)</f>
        <v>0</v>
      </c>
      <c r="BW30" s="115"/>
      <c r="BX30" s="115">
        <f>COUNTIF(BX10:BX29,1)</f>
        <v>0</v>
      </c>
      <c r="BY30" s="115"/>
      <c r="BZ30" s="115">
        <f>COUNTIF(BZ10:BZ29,1)</f>
        <v>1</v>
      </c>
      <c r="CA30" s="115"/>
      <c r="CB30" s="116"/>
      <c r="CC30" s="116"/>
      <c r="CD30" s="116"/>
      <c r="CE30" s="116"/>
      <c r="CF30" s="115"/>
      <c r="CG30" s="116"/>
      <c r="CH30" s="116"/>
      <c r="CI30" s="116"/>
      <c r="CJ30" s="116"/>
      <c r="CK30" s="116"/>
      <c r="CL30" s="116"/>
      <c r="CM30" s="116"/>
    </row>
    <row r="31" spans="2:91" ht="16" hidden="1" thickTop="1" x14ac:dyDescent="0.35">
      <c r="B31" s="115"/>
      <c r="C31" s="116" t="s">
        <v>79</v>
      </c>
      <c r="D31" s="115"/>
      <c r="E31" s="115"/>
      <c r="F31" s="115"/>
      <c r="G31" s="115">
        <f>COUNTIF(G10:G29,2)</f>
        <v>0</v>
      </c>
      <c r="H31" s="115"/>
      <c r="I31" s="115">
        <f>COUNTIF(I10:I29,2)</f>
        <v>0</v>
      </c>
      <c r="J31" s="115"/>
      <c r="K31" s="115">
        <f>COUNTIF(K10:K29,2)</f>
        <v>0</v>
      </c>
      <c r="L31" s="115"/>
      <c r="M31" s="115">
        <f>COUNTIF(M10:M29,2)</f>
        <v>0</v>
      </c>
      <c r="N31" s="115"/>
      <c r="O31" s="115">
        <f>COUNTIF(O10:O29,2)</f>
        <v>1</v>
      </c>
      <c r="P31" s="115"/>
      <c r="Q31" s="115">
        <f>COUNTIF(Q10:Q29,2)</f>
        <v>1</v>
      </c>
      <c r="R31" s="115"/>
      <c r="S31" s="115">
        <f>COUNTIF(S10:S29,2)</f>
        <v>0</v>
      </c>
      <c r="T31" s="115"/>
      <c r="U31" s="115">
        <f>COUNTIF(U10:U29,2)</f>
        <v>0</v>
      </c>
      <c r="V31" s="115"/>
      <c r="W31" s="115">
        <f>COUNTIF(W10:W29,2)</f>
        <v>0</v>
      </c>
      <c r="X31" s="115"/>
      <c r="Y31" s="115">
        <f>COUNTIF(Y10:Y29,2)</f>
        <v>0</v>
      </c>
      <c r="Z31" s="115"/>
      <c r="AA31" s="115">
        <f>COUNTIF(AA10:AA29,2)</f>
        <v>0</v>
      </c>
      <c r="AB31" s="115"/>
      <c r="AC31" s="115">
        <f>COUNTIF(AC10:AC29,2)</f>
        <v>0</v>
      </c>
      <c r="AD31" s="115"/>
      <c r="AE31" s="115">
        <f>COUNTIF(AE10:AE29,2)</f>
        <v>0</v>
      </c>
      <c r="AF31" s="115"/>
      <c r="AG31" s="115">
        <f>COUNTIF(AG10:AG29,2)</f>
        <v>0</v>
      </c>
      <c r="AH31" s="115"/>
      <c r="AI31" s="115">
        <f>COUNTIF(AI10:AI29,2)</f>
        <v>1</v>
      </c>
      <c r="AJ31" s="115"/>
      <c r="AK31" s="115">
        <f>COUNTIF(AK10:AK29,2)</f>
        <v>1</v>
      </c>
      <c r="AL31" s="115"/>
      <c r="AM31" s="115">
        <f>COUNTIF(AM10:AM29,2)</f>
        <v>0</v>
      </c>
      <c r="AN31" s="115"/>
      <c r="AO31" s="115">
        <f>COUNTIF(AO10:AO29,2)</f>
        <v>1</v>
      </c>
      <c r="AP31" s="115"/>
      <c r="AQ31" s="115">
        <f>COUNTIF(AQ10:AQ29,2)</f>
        <v>1</v>
      </c>
      <c r="AR31" s="115"/>
      <c r="AS31" s="115">
        <f>COUNTIF(AS10:AS29,2)</f>
        <v>1</v>
      </c>
      <c r="AT31" s="115"/>
      <c r="AU31" s="115">
        <f>COUNTIF(AU10:AU29,2)</f>
        <v>2</v>
      </c>
      <c r="AV31" s="115"/>
      <c r="AW31" s="115">
        <f>COUNTIF(AW10:AW29,2)</f>
        <v>1</v>
      </c>
      <c r="AX31" s="115"/>
      <c r="AY31" s="115">
        <f>COUNTIF(AY10:AY29,2)</f>
        <v>0</v>
      </c>
      <c r="AZ31" s="115"/>
      <c r="BA31" s="115">
        <f>COUNTIF(BA10:BA29,2)</f>
        <v>1</v>
      </c>
      <c r="BB31" s="115"/>
      <c r="BC31" s="115">
        <f>COUNTIF(BC10:BC29,2)</f>
        <v>0</v>
      </c>
      <c r="BD31" s="115"/>
      <c r="BE31" s="115">
        <f>COUNTIF(BE10:BE29,2)</f>
        <v>2</v>
      </c>
      <c r="BF31" s="115"/>
      <c r="BG31" s="115">
        <f>COUNTIF(BG10:BG29,2)</f>
        <v>0</v>
      </c>
      <c r="BH31" s="118"/>
      <c r="BI31" s="115">
        <f>COUNTIF(BI10:BI29,2)</f>
        <v>0</v>
      </c>
      <c r="BJ31" s="115"/>
      <c r="BK31" s="115">
        <f>COUNTIF(BK10:BK29,2)</f>
        <v>0</v>
      </c>
      <c r="BL31" s="115"/>
      <c r="BM31" s="115">
        <f>COUNTIF(BM10:BM29,2)</f>
        <v>0</v>
      </c>
      <c r="BN31" s="115"/>
      <c r="BO31" s="115"/>
      <c r="BP31" s="115">
        <f>COUNTIF(BP10:BP29,2)</f>
        <v>0</v>
      </c>
      <c r="BQ31" s="115"/>
      <c r="BR31" s="115">
        <f>COUNTIF(BR10:BR29,2)</f>
        <v>0</v>
      </c>
      <c r="BS31" s="115"/>
      <c r="BT31" s="115">
        <f>COUNTIF(BT10:BT29,2)</f>
        <v>2</v>
      </c>
      <c r="BU31" s="115"/>
      <c r="BV31" s="115">
        <f>COUNTIF(BV10:BV29,2)</f>
        <v>2</v>
      </c>
      <c r="BW31" s="115"/>
      <c r="BX31" s="115">
        <f>COUNTIF(BX10:BX29,2)</f>
        <v>0</v>
      </c>
      <c r="BY31" s="115"/>
      <c r="BZ31" s="115">
        <f>COUNTIF(BZ10:BZ29,2)</f>
        <v>1</v>
      </c>
      <c r="CA31" s="115"/>
      <c r="CB31" s="116"/>
      <c r="CC31" s="116"/>
      <c r="CD31" s="116"/>
      <c r="CE31" s="116"/>
      <c r="CF31" s="115"/>
      <c r="CG31" s="116"/>
      <c r="CH31" s="116"/>
      <c r="CI31" s="116"/>
      <c r="CJ31" s="116"/>
      <c r="CK31" s="116"/>
      <c r="CL31" s="116"/>
      <c r="CM31" s="116"/>
    </row>
    <row r="32" spans="2:91" ht="16" hidden="1" thickTop="1" x14ac:dyDescent="0.35">
      <c r="B32" s="115"/>
      <c r="C32" s="116" t="s">
        <v>80</v>
      </c>
      <c r="D32" s="115"/>
      <c r="E32" s="115"/>
      <c r="F32" s="115"/>
      <c r="G32" s="115">
        <f>COUNTIF(G10:G29,3)</f>
        <v>3</v>
      </c>
      <c r="H32" s="115"/>
      <c r="I32" s="115">
        <f>COUNTIF(I10:I29,3)</f>
        <v>3</v>
      </c>
      <c r="J32" s="115"/>
      <c r="K32" s="115">
        <f>COUNTIF(K10:K29,3)</f>
        <v>3</v>
      </c>
      <c r="L32" s="115"/>
      <c r="M32" s="115">
        <f>COUNTIF(M10:M29,3)</f>
        <v>3</v>
      </c>
      <c r="N32" s="115"/>
      <c r="O32" s="115">
        <f>COUNTIF(O10:O29,3)</f>
        <v>2</v>
      </c>
      <c r="P32" s="115"/>
      <c r="Q32" s="115">
        <f>COUNTIF(Q10:Q29,3)</f>
        <v>2</v>
      </c>
      <c r="R32" s="115"/>
      <c r="S32" s="115">
        <f>COUNTIF(S10:S29,3)</f>
        <v>3</v>
      </c>
      <c r="T32" s="115"/>
      <c r="U32" s="115">
        <f>COUNTIF(U10:U29,3)</f>
        <v>3</v>
      </c>
      <c r="V32" s="115"/>
      <c r="W32" s="115">
        <f>COUNTIF(W10:W29,3)</f>
        <v>3</v>
      </c>
      <c r="X32" s="115"/>
      <c r="Y32" s="115">
        <f>COUNTIF(Y10:Y29,3)</f>
        <v>3</v>
      </c>
      <c r="Z32" s="115"/>
      <c r="AA32" s="115">
        <f>COUNTIF(AA10:AA29,3)</f>
        <v>3</v>
      </c>
      <c r="AB32" s="115"/>
      <c r="AC32" s="115">
        <f>COUNTIF(AC10:AC29,3)</f>
        <v>3</v>
      </c>
      <c r="AD32" s="115"/>
      <c r="AE32" s="115">
        <f>COUNTIF(AE10:AE29,3)</f>
        <v>3</v>
      </c>
      <c r="AF32" s="115"/>
      <c r="AG32" s="115">
        <f>COUNTIF(AG10:AG29,3)</f>
        <v>2</v>
      </c>
      <c r="AH32" s="115"/>
      <c r="AI32" s="115">
        <f>COUNTIF(AI10:AI29,3)</f>
        <v>2</v>
      </c>
      <c r="AJ32" s="115"/>
      <c r="AK32" s="115">
        <f>COUNTIF(AK10:AK29,3)</f>
        <v>2</v>
      </c>
      <c r="AL32" s="115"/>
      <c r="AM32" s="115">
        <f>COUNTIF(AM10:AM29,3)</f>
        <v>3</v>
      </c>
      <c r="AN32" s="115"/>
      <c r="AO32" s="115">
        <f>COUNTIF(AO10:AO29,3)</f>
        <v>2</v>
      </c>
      <c r="AP32" s="115"/>
      <c r="AQ32" s="115">
        <f>COUNTIF(AQ10:AQ29,3)</f>
        <v>2</v>
      </c>
      <c r="AR32" s="115"/>
      <c r="AS32" s="115">
        <f>COUNTIF(AS10:AS29,3)</f>
        <v>2</v>
      </c>
      <c r="AT32" s="115"/>
      <c r="AU32" s="115">
        <f>COUNTIF(AU10:AU29,3)</f>
        <v>1</v>
      </c>
      <c r="AV32" s="115"/>
      <c r="AW32" s="115">
        <f>COUNTIF(AW10:AW29,3)</f>
        <v>2</v>
      </c>
      <c r="AX32" s="115"/>
      <c r="AY32" s="115">
        <f>COUNTIF(AY10:AY29,3)</f>
        <v>3</v>
      </c>
      <c r="AZ32" s="115"/>
      <c r="BA32" s="115">
        <f>COUNTIF(BA10:BA29,3)</f>
        <v>2</v>
      </c>
      <c r="BB32" s="115"/>
      <c r="BC32" s="115">
        <f>COUNTIF(BC10:BC29,3)</f>
        <v>1</v>
      </c>
      <c r="BD32" s="115"/>
      <c r="BE32" s="115">
        <f>COUNTIF(BE10:BE29,3)</f>
        <v>1</v>
      </c>
      <c r="BF32" s="115"/>
      <c r="BG32" s="115">
        <f>COUNTIF(BG10:BG29,3)</f>
        <v>3</v>
      </c>
      <c r="BH32" s="118"/>
      <c r="BI32" s="115">
        <f>COUNTIF(BI10:BI29,3)</f>
        <v>3</v>
      </c>
      <c r="BJ32" s="115"/>
      <c r="BK32" s="115">
        <f>COUNTIF(BK10:BK29,3)</f>
        <v>3</v>
      </c>
      <c r="BL32" s="115"/>
      <c r="BM32" s="115">
        <f>COUNTIF(BM10:BM29,3)</f>
        <v>3</v>
      </c>
      <c r="BN32" s="115"/>
      <c r="BO32" s="115"/>
      <c r="BP32" s="115">
        <f>COUNTIF(BP10:BP29,3)</f>
        <v>3</v>
      </c>
      <c r="BQ32" s="115"/>
      <c r="BR32" s="115">
        <f>COUNTIF(BR10:BR29,3)</f>
        <v>3</v>
      </c>
      <c r="BS32" s="115"/>
      <c r="BT32" s="115">
        <f>COUNTIF(BT10:BT29,3)</f>
        <v>1</v>
      </c>
      <c r="BU32" s="115"/>
      <c r="BV32" s="115">
        <f>COUNTIF(BV10:BV29,3)</f>
        <v>1</v>
      </c>
      <c r="BW32" s="115"/>
      <c r="BX32" s="115">
        <f>COUNTIF(BX10:BX29,3)</f>
        <v>3</v>
      </c>
      <c r="BY32" s="115"/>
      <c r="BZ32" s="115">
        <f>COUNTIF(BZ10:BZ29,3)</f>
        <v>1</v>
      </c>
      <c r="CA32" s="115"/>
      <c r="CB32" s="116"/>
      <c r="CC32" s="116"/>
      <c r="CD32" s="116"/>
      <c r="CE32" s="116"/>
      <c r="CF32" s="115"/>
      <c r="CG32" s="116"/>
      <c r="CH32" s="116"/>
      <c r="CI32" s="116"/>
      <c r="CJ32" s="116"/>
      <c r="CK32" s="116"/>
      <c r="CL32" s="116"/>
      <c r="CM32" s="116"/>
    </row>
    <row r="33" spans="2:92" ht="16" hidden="1" thickTop="1" x14ac:dyDescent="0.35">
      <c r="B33" s="115"/>
      <c r="C33" s="116" t="s">
        <v>81</v>
      </c>
      <c r="D33" s="115"/>
      <c r="E33" s="115"/>
      <c r="F33" s="115"/>
      <c r="G33" s="115">
        <f>COUNT($G$10:$G$29)</f>
        <v>3</v>
      </c>
      <c r="H33" s="115"/>
      <c r="I33" s="115">
        <f>COUNT($G$10:$G$29)</f>
        <v>3</v>
      </c>
      <c r="J33" s="115"/>
      <c r="K33" s="115">
        <f>COUNT($G$10:$G$29)</f>
        <v>3</v>
      </c>
      <c r="L33" s="115"/>
      <c r="M33" s="115">
        <f>COUNT($G$10:$G$29)</f>
        <v>3</v>
      </c>
      <c r="N33" s="115"/>
      <c r="O33" s="115">
        <f>COUNT($G$10:$G$29)</f>
        <v>3</v>
      </c>
      <c r="P33" s="115"/>
      <c r="Q33" s="115">
        <f>COUNT($G$10:$G$29)</f>
        <v>3</v>
      </c>
      <c r="R33" s="115"/>
      <c r="S33" s="115">
        <f>COUNT($G$10:$G$29)</f>
        <v>3</v>
      </c>
      <c r="T33" s="115"/>
      <c r="U33" s="115">
        <f>COUNT($G$10:$G$29)</f>
        <v>3</v>
      </c>
      <c r="V33" s="115"/>
      <c r="W33" s="115">
        <f>COUNT($G$10:$G$29)</f>
        <v>3</v>
      </c>
      <c r="X33" s="115"/>
      <c r="Y33" s="115">
        <f>COUNT($G$10:$G$29)</f>
        <v>3</v>
      </c>
      <c r="Z33" s="115"/>
      <c r="AA33" s="115">
        <f>COUNT($G$10:$G$29)</f>
        <v>3</v>
      </c>
      <c r="AB33" s="115"/>
      <c r="AC33" s="115">
        <f>COUNT($G$10:$G$29)</f>
        <v>3</v>
      </c>
      <c r="AD33" s="115"/>
      <c r="AE33" s="115">
        <f>COUNT($G$10:$G$29)</f>
        <v>3</v>
      </c>
      <c r="AF33" s="115"/>
      <c r="AG33" s="115">
        <f>COUNT($G$10:$G$29)</f>
        <v>3</v>
      </c>
      <c r="AH33" s="115"/>
      <c r="AI33" s="115">
        <f>COUNT($G$10:$G$29)</f>
        <v>3</v>
      </c>
      <c r="AJ33" s="115"/>
      <c r="AK33" s="115">
        <f>COUNT($G$10:$G$29)</f>
        <v>3</v>
      </c>
      <c r="AL33" s="115"/>
      <c r="AM33" s="115">
        <f>COUNT($G$10:$G$29)</f>
        <v>3</v>
      </c>
      <c r="AN33" s="115"/>
      <c r="AO33" s="115">
        <f>COUNT($G$10:$G$29)</f>
        <v>3</v>
      </c>
      <c r="AP33" s="115"/>
      <c r="AQ33" s="115">
        <f>COUNT($G$10:$G$29)</f>
        <v>3</v>
      </c>
      <c r="AR33" s="115"/>
      <c r="AS33" s="115">
        <f>COUNT($G$10:$G$29)</f>
        <v>3</v>
      </c>
      <c r="AT33" s="115"/>
      <c r="AU33" s="115">
        <f>COUNT($G$10:$G$29)</f>
        <v>3</v>
      </c>
      <c r="AV33" s="115"/>
      <c r="AW33" s="115">
        <f>COUNT($G$10:$G$29)</f>
        <v>3</v>
      </c>
      <c r="AX33" s="115"/>
      <c r="AY33" s="115">
        <f>COUNT($G$10:$G$29)</f>
        <v>3</v>
      </c>
      <c r="AZ33" s="115"/>
      <c r="BA33" s="115">
        <f>COUNT($G$10:$G$29)</f>
        <v>3</v>
      </c>
      <c r="BB33" s="115"/>
      <c r="BC33" s="115">
        <f>COUNT($G$10:$G$29)</f>
        <v>3</v>
      </c>
      <c r="BD33" s="115"/>
      <c r="BE33" s="115">
        <f>COUNT($G$10:$G$29)</f>
        <v>3</v>
      </c>
      <c r="BF33" s="115"/>
      <c r="BG33" s="115">
        <f>COUNT($G$10:$G$29)</f>
        <v>3</v>
      </c>
      <c r="BH33" s="85"/>
      <c r="BI33" s="115">
        <f>COUNT($G$10:$G$29)</f>
        <v>3</v>
      </c>
      <c r="BJ33" s="115"/>
      <c r="BK33" s="115">
        <f>COUNT($G$10:$G$29)</f>
        <v>3</v>
      </c>
      <c r="BL33" s="115"/>
      <c r="BM33" s="115">
        <f>COUNT($G$10:$G$29)</f>
        <v>3</v>
      </c>
      <c r="BN33" s="115"/>
      <c r="BO33" s="115"/>
      <c r="BP33" s="115">
        <f>COUNT($G$10:$G$29)</f>
        <v>3</v>
      </c>
      <c r="BQ33" s="115"/>
      <c r="BR33" s="115">
        <f>COUNT($G$10:$G$29)</f>
        <v>3</v>
      </c>
      <c r="BS33" s="115"/>
      <c r="BT33" s="115">
        <f>COUNT($G$10:$G$29)</f>
        <v>3</v>
      </c>
      <c r="BU33" s="115"/>
      <c r="BV33" s="115">
        <f>COUNT($G$10:$G$29)</f>
        <v>3</v>
      </c>
      <c r="BW33" s="115"/>
      <c r="BX33" s="115">
        <f>COUNT($G$10:$G$29)</f>
        <v>3</v>
      </c>
      <c r="BY33" s="115"/>
      <c r="BZ33" s="115">
        <f>COUNT($G$10:$G$29)</f>
        <v>3</v>
      </c>
      <c r="CA33" s="115"/>
      <c r="CB33" s="116"/>
      <c r="CC33" s="116"/>
      <c r="CD33" s="116"/>
      <c r="CE33" s="116"/>
      <c r="CF33" s="115"/>
      <c r="CG33" s="116"/>
      <c r="CH33" s="116"/>
      <c r="CI33" s="116"/>
      <c r="CJ33" s="116"/>
      <c r="CK33" s="116"/>
      <c r="CL33" s="116"/>
      <c r="CM33" s="116"/>
    </row>
    <row r="34" spans="2:92" ht="16" thickTop="1" x14ac:dyDescent="0.35">
      <c r="B34" s="119"/>
      <c r="C34" s="120" t="s">
        <v>82</v>
      </c>
      <c r="D34" s="121"/>
      <c r="E34" s="121"/>
      <c r="F34" s="121"/>
      <c r="G34" s="122">
        <f>IF(G33=0,"",IF(G33&gt;0,(G30/G33)))</f>
        <v>0</v>
      </c>
      <c r="H34" s="122"/>
      <c r="I34" s="122">
        <f>IF(I33=0,"",IF(I33&gt;0,(I30/I33)))</f>
        <v>0</v>
      </c>
      <c r="J34" s="122"/>
      <c r="K34" s="122">
        <f>IF(K33=0,"",IF(K33&gt;0,(K30/K33)))</f>
        <v>0</v>
      </c>
      <c r="L34" s="122"/>
      <c r="M34" s="122">
        <f>IF(M33=0,"",IF(M33&gt;0,(M30/M33)))</f>
        <v>0</v>
      </c>
      <c r="N34" s="122"/>
      <c r="O34" s="122">
        <f>IF(O33=0,"",IF(O33&gt;0,(O30/O33)))</f>
        <v>0</v>
      </c>
      <c r="P34" s="122"/>
      <c r="Q34" s="122">
        <f>IF(Q33=0,"",IF(Q33&gt;0,(Q30/Q33)))</f>
        <v>0</v>
      </c>
      <c r="R34" s="122"/>
      <c r="S34" s="122">
        <f>IF(S33=0,"",IF(S33&gt;0,(S30/S33)))</f>
        <v>0</v>
      </c>
      <c r="T34" s="122"/>
      <c r="U34" s="122">
        <f>IF(U33=0,"",IF(U33&gt;0,(U30/U33)))</f>
        <v>0</v>
      </c>
      <c r="V34" s="122"/>
      <c r="W34" s="122">
        <f>IF(W33=0,"",IF(W33&gt;0,(W30/W33)))</f>
        <v>0</v>
      </c>
      <c r="X34" s="122"/>
      <c r="Y34" s="122">
        <f>IF(Y33=0,"",IF(Y33&gt;0,(Y30/Y33)))</f>
        <v>0</v>
      </c>
      <c r="Z34" s="122"/>
      <c r="AA34" s="122">
        <f>IF(AA33=0,"",IF(AA33&gt;0,(AA30/AA33)))</f>
        <v>0</v>
      </c>
      <c r="AB34" s="122"/>
      <c r="AC34" s="122">
        <f>IF(AC33=0,"",IF(AC33&gt;0,(AC30/AC33)))</f>
        <v>0</v>
      </c>
      <c r="AD34" s="122"/>
      <c r="AE34" s="122">
        <f>IF(AE33=0,"",IF(AE33&gt;0,(AE30/AE33)))</f>
        <v>0</v>
      </c>
      <c r="AF34" s="122"/>
      <c r="AG34" s="122">
        <f>IF(AG33=0,"",IF(AG33&gt;0,(AG30/AG33)))</f>
        <v>0.33333333333333331</v>
      </c>
      <c r="AH34" s="122"/>
      <c r="AI34" s="122">
        <f>IF(AI33=0,"",IF(AI33&gt;0,(AI30/AI33)))</f>
        <v>0</v>
      </c>
      <c r="AJ34" s="122"/>
      <c r="AK34" s="122">
        <f>IF(AK33=0,"",IF(AK33&gt;0,(AK30/AK33)))</f>
        <v>0</v>
      </c>
      <c r="AL34" s="122"/>
      <c r="AM34" s="122">
        <f>IF(AM33=0,"",IF(AM33&gt;0,(AM30/AM33)))</f>
        <v>0</v>
      </c>
      <c r="AN34" s="122"/>
      <c r="AO34" s="122">
        <f>IF(AO33=0,"",IF(AO33&gt;0,(AO30/AO33)))</f>
        <v>0</v>
      </c>
      <c r="AP34" s="122"/>
      <c r="AQ34" s="122">
        <f>IF(AQ33=0,"",IF(AQ33&gt;0,(AQ30/AQ33)))</f>
        <v>0</v>
      </c>
      <c r="AR34" s="122"/>
      <c r="AS34" s="122">
        <f>IF(AS33=0,"",IF(AS33&gt;0,(AS30/AS33)))</f>
        <v>0</v>
      </c>
      <c r="AT34" s="122"/>
      <c r="AU34" s="122">
        <f>IF(AU33=0,"",IF(AU33&gt;0,(AU30/AU33)))</f>
        <v>0</v>
      </c>
      <c r="AV34" s="122"/>
      <c r="AW34" s="122">
        <f>IF(AW33=0,"",IF(AW33&gt;0,(AW30/AW33)))</f>
        <v>0</v>
      </c>
      <c r="AX34" s="122"/>
      <c r="AY34" s="122">
        <f>IF(AY33=0,"",IF(AY33&gt;0,(AY30/AY33)))</f>
        <v>0</v>
      </c>
      <c r="AZ34" s="122"/>
      <c r="BA34" s="122">
        <f>IF(BA33=0,"",IF(BA33&gt;0,(BA30/BA33)))</f>
        <v>0</v>
      </c>
      <c r="BB34" s="122"/>
      <c r="BC34" s="122">
        <f>IF(BC33=0,"",IF(BC33&gt;0,(BC30/BC33)))</f>
        <v>0.66666666666666663</v>
      </c>
      <c r="BD34" s="122"/>
      <c r="BE34" s="122">
        <f>IF(BE33=0,"",IF(BE33&gt;0,(BE30/BE33)))</f>
        <v>0</v>
      </c>
      <c r="BF34" s="122"/>
      <c r="BG34" s="122">
        <f>IF(BG33=0,"",IF(BG33&gt;0,(BG30/BG33)))</f>
        <v>0</v>
      </c>
      <c r="BH34" s="122"/>
      <c r="BI34" s="122">
        <f>IF(BI33=0,"",IF(BI33&gt;0,(BI30/BI33)))</f>
        <v>0</v>
      </c>
      <c r="BJ34" s="122"/>
      <c r="BK34" s="122">
        <f>IF(BK33=0,"",IF(BK33&gt;0,(BK30/BK33)))</f>
        <v>0</v>
      </c>
      <c r="BL34" s="122"/>
      <c r="BM34" s="122">
        <f>IF(BM33=0,"",IF(BM33&gt;0,(BM30/BM33)))</f>
        <v>0</v>
      </c>
      <c r="BN34" s="122"/>
      <c r="BO34" s="122"/>
      <c r="BP34" s="122">
        <f>IF(BP33=0,"",IF(BP33&gt;0,(BP30/BP33)))</f>
        <v>0</v>
      </c>
      <c r="BQ34" s="122"/>
      <c r="BR34" s="122">
        <f>IF(BR33=0,"",IF(BR33&gt;0,(BR30/BR33)))</f>
        <v>0</v>
      </c>
      <c r="BS34" s="122"/>
      <c r="BT34" s="122">
        <f>IF(BT33=0,"",IF(BT33&gt;0,(BT30/BT33)))</f>
        <v>0</v>
      </c>
      <c r="BU34" s="122"/>
      <c r="BV34" s="122">
        <f>IF(BV33=0,"",IF(BV33&gt;0,(BV30/BV33)))</f>
        <v>0</v>
      </c>
      <c r="BW34" s="122"/>
      <c r="BX34" s="122">
        <f>IF(BX33=0,"",IF(BX33&gt;0,(BX30/BX33)))</f>
        <v>0</v>
      </c>
      <c r="BY34" s="122"/>
      <c r="BZ34" s="122">
        <f>IF(BZ33=0,"",IF(BZ33&gt;0,(BZ30/BZ33)))</f>
        <v>0.33333333333333331</v>
      </c>
      <c r="CA34" s="122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</row>
    <row r="35" spans="2:92" ht="15.5" x14ac:dyDescent="0.35">
      <c r="B35" s="119"/>
      <c r="C35" s="120" t="s">
        <v>83</v>
      </c>
      <c r="D35" s="121"/>
      <c r="E35" s="121"/>
      <c r="F35" s="121"/>
      <c r="G35" s="122">
        <f>IF(G33=0,"",IF(G33&gt;0,(G31/G33)))</f>
        <v>0</v>
      </c>
      <c r="H35" s="122"/>
      <c r="I35" s="122">
        <f>IF(I33=0,"",IF(I33&gt;0,(I31/I33)))</f>
        <v>0</v>
      </c>
      <c r="J35" s="122"/>
      <c r="K35" s="122">
        <f>IF(K33=0,"",IF(K33&gt;0,(K31/K33)))</f>
        <v>0</v>
      </c>
      <c r="L35" s="122"/>
      <c r="M35" s="122">
        <f>IF(M33=0,"",IF(M33&gt;0,(M31/M33)))</f>
        <v>0</v>
      </c>
      <c r="N35" s="122"/>
      <c r="O35" s="122">
        <f>IF(O33=0,"",IF(O33&gt;0,(O31/O33)))</f>
        <v>0.33333333333333331</v>
      </c>
      <c r="P35" s="122"/>
      <c r="Q35" s="122">
        <f>IF(Q33=0,"",IF(Q33&gt;0,(Q31/Q33)))</f>
        <v>0.33333333333333331</v>
      </c>
      <c r="R35" s="122"/>
      <c r="S35" s="122">
        <f>IF(S33=0,"",IF(S33&gt;0,(S31/S33)))</f>
        <v>0</v>
      </c>
      <c r="T35" s="122"/>
      <c r="U35" s="122">
        <f>IF(U33=0,"",IF(U33&gt;0,(U31/U33)))</f>
        <v>0</v>
      </c>
      <c r="V35" s="122"/>
      <c r="W35" s="122">
        <f>IF(W33=0,"",IF(W33&gt;0,(W31/W33)))</f>
        <v>0</v>
      </c>
      <c r="X35" s="122"/>
      <c r="Y35" s="122">
        <f>IF(Y33=0,"",IF(Y33&gt;0,(Y31/Y33)))</f>
        <v>0</v>
      </c>
      <c r="Z35" s="122"/>
      <c r="AA35" s="122">
        <f>IF(AA33=0,"",IF(AA33&gt;0,(AA31/AA33)))</f>
        <v>0</v>
      </c>
      <c r="AB35" s="122"/>
      <c r="AC35" s="122">
        <f>IF(AC33=0,"",IF(AC33&gt;0,(AC31/AC33)))</f>
        <v>0</v>
      </c>
      <c r="AD35" s="122"/>
      <c r="AE35" s="122">
        <f>IF(AE33=0,"",IF(AE33&gt;0,(AE31/AE33)))</f>
        <v>0</v>
      </c>
      <c r="AF35" s="122"/>
      <c r="AG35" s="122">
        <f>IF(AG33=0,"",IF(AG33&gt;0,(AG31/AG33)))</f>
        <v>0</v>
      </c>
      <c r="AH35" s="122"/>
      <c r="AI35" s="122">
        <f>IF(AI33=0,"",IF(AI33&gt;0,(AI31/AI33)))</f>
        <v>0.33333333333333331</v>
      </c>
      <c r="AJ35" s="122"/>
      <c r="AK35" s="122">
        <f>IF(AK33=0,"",IF(AK33&gt;0,(AK31/AK33)))</f>
        <v>0.33333333333333331</v>
      </c>
      <c r="AL35" s="122"/>
      <c r="AM35" s="122">
        <f>IF(AM33=0,"",IF(AM33&gt;0,(AM31/AM33)))</f>
        <v>0</v>
      </c>
      <c r="AN35" s="122"/>
      <c r="AO35" s="122">
        <f>IF(AO33=0,"",IF(AO33&gt;0,(AO31/AO33)))</f>
        <v>0.33333333333333331</v>
      </c>
      <c r="AP35" s="122"/>
      <c r="AQ35" s="122">
        <f>IF(AQ33=0,"",IF(AQ33&gt;0,(AQ31/AQ33)))</f>
        <v>0.33333333333333331</v>
      </c>
      <c r="AR35" s="122"/>
      <c r="AS35" s="122">
        <f>IF(AS33=0,"",IF(AS33&gt;0,(AS31/AS33)))</f>
        <v>0.33333333333333331</v>
      </c>
      <c r="AT35" s="122"/>
      <c r="AU35" s="122">
        <f>IF(AU33=0,"",IF(AU33&gt;0,(AU31/AU33)))</f>
        <v>0.66666666666666663</v>
      </c>
      <c r="AV35" s="122"/>
      <c r="AW35" s="122">
        <f>IF(AW33=0,"",IF(AW33&gt;0,(AW31/AW33)))</f>
        <v>0.33333333333333331</v>
      </c>
      <c r="AX35" s="122"/>
      <c r="AY35" s="122">
        <f>IF(AY33=0,"",IF(AY33&gt;0,(AY31/AY33)))</f>
        <v>0</v>
      </c>
      <c r="AZ35" s="122"/>
      <c r="BA35" s="122">
        <f>IF(BA33=0,"",IF(BA33&gt;0,(BA31/BA33)))</f>
        <v>0.33333333333333331</v>
      </c>
      <c r="BB35" s="122"/>
      <c r="BC35" s="122">
        <f>IF(BC33=0,"",IF(BC33&gt;0,(BC31/BC33)))</f>
        <v>0</v>
      </c>
      <c r="BD35" s="122"/>
      <c r="BE35" s="122">
        <f>IF(BE33=0,"",IF(BE33&gt;0,(BE31/BE33)))</f>
        <v>0.66666666666666663</v>
      </c>
      <c r="BF35" s="122"/>
      <c r="BG35" s="122">
        <f>IF(BG33=0,"",IF(BG33&gt;0,(BG31/BG33)))</f>
        <v>0</v>
      </c>
      <c r="BH35" s="122"/>
      <c r="BI35" s="122">
        <f>IF(BI33=0,"",IF(BI33&gt;0,(BI31/BI33)))</f>
        <v>0</v>
      </c>
      <c r="BJ35" s="122"/>
      <c r="BK35" s="122">
        <f>IF(BK33=0,"",IF(BK33&gt;0,(BK31/BK33)))</f>
        <v>0</v>
      </c>
      <c r="BL35" s="122"/>
      <c r="BM35" s="122">
        <f>IF(BM33=0,"",IF(BM33&gt;0,(BM31/BM33)))</f>
        <v>0</v>
      </c>
      <c r="BN35" s="122"/>
      <c r="BO35" s="122"/>
      <c r="BP35" s="122">
        <f>IF(BP33=0,"",IF(BP33&gt;0,(BP31/BP33)))</f>
        <v>0</v>
      </c>
      <c r="BQ35" s="122"/>
      <c r="BR35" s="122">
        <f>IF(BR33=0,"",IF(BR33&gt;0,(BR31/BR33)))</f>
        <v>0</v>
      </c>
      <c r="BS35" s="122"/>
      <c r="BT35" s="122">
        <f>IF(BT33=0,"",IF(BT33&gt;0,(BT31/BT33)))</f>
        <v>0.66666666666666663</v>
      </c>
      <c r="BU35" s="122"/>
      <c r="BV35" s="122">
        <f>IF(BV33=0,"",IF(BV33&gt;0,(BV31/BV33)))</f>
        <v>0.66666666666666663</v>
      </c>
      <c r="BW35" s="122"/>
      <c r="BX35" s="122">
        <f>IF(BX33=0,"",IF(BX33&gt;0,(BX31/BX33)))</f>
        <v>0</v>
      </c>
      <c r="BY35" s="122"/>
      <c r="BZ35" s="122">
        <f>IF(BZ33=0,"",IF(BZ33&gt;0,(BZ31/BZ33)))</f>
        <v>0.33333333333333331</v>
      </c>
      <c r="CA35" s="122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</row>
    <row r="36" spans="2:92" ht="15.5" x14ac:dyDescent="0.35">
      <c r="B36" s="119"/>
      <c r="C36" s="120" t="s">
        <v>84</v>
      </c>
      <c r="D36" s="121"/>
      <c r="E36" s="121"/>
      <c r="F36" s="121"/>
      <c r="G36" s="122">
        <f>IF(G33=0,"",IF(G33&gt;0,(G32/G33)))</f>
        <v>1</v>
      </c>
      <c r="H36" s="122"/>
      <c r="I36" s="122">
        <f>IF(I33=0,"",IF(I33&gt;0,(I32/I33)))</f>
        <v>1</v>
      </c>
      <c r="J36" s="122"/>
      <c r="K36" s="122">
        <f>IF(K33=0,"",IF(K33&gt;0,(K32/K33)))</f>
        <v>1</v>
      </c>
      <c r="L36" s="122"/>
      <c r="M36" s="122">
        <f>IF(M33=0,"",IF(M33&gt;0,(M32/M33)))</f>
        <v>1</v>
      </c>
      <c r="N36" s="122"/>
      <c r="O36" s="122">
        <f>IF(O33=0,"",IF(O33&gt;0,(O32/O33)))</f>
        <v>0.66666666666666663</v>
      </c>
      <c r="P36" s="122"/>
      <c r="Q36" s="122">
        <f>IF(Q33=0,"",IF(Q33&gt;0,(Q32/Q33)))</f>
        <v>0.66666666666666663</v>
      </c>
      <c r="R36" s="122"/>
      <c r="S36" s="122">
        <f>IF(S33=0,"",IF(S33&gt;0,(S32/S33)))</f>
        <v>1</v>
      </c>
      <c r="T36" s="122"/>
      <c r="U36" s="122">
        <f>IF(U33=0,"",IF(U33&gt;0,(U32/U33)))</f>
        <v>1</v>
      </c>
      <c r="V36" s="122"/>
      <c r="W36" s="122">
        <f>IF(W33=0,"",IF(W33&gt;0,(W32/W33)))</f>
        <v>1</v>
      </c>
      <c r="X36" s="122"/>
      <c r="Y36" s="122">
        <f>IF(Y33=0,"",IF(Y33&gt;0,(Y32/Y33)))</f>
        <v>1</v>
      </c>
      <c r="Z36" s="122"/>
      <c r="AA36" s="122">
        <f>IF(AA33=0,"",IF(AA33&gt;0,(AA32/AA33)))</f>
        <v>1</v>
      </c>
      <c r="AB36" s="122"/>
      <c r="AC36" s="122">
        <f>IF(AC33=0,"",IF(AC33&gt;0,(AC32/AC33)))</f>
        <v>1</v>
      </c>
      <c r="AD36" s="122"/>
      <c r="AE36" s="122">
        <f>IF(AE33=0,"",IF(AE33&gt;0,(AE32/AE33)))</f>
        <v>1</v>
      </c>
      <c r="AF36" s="122"/>
      <c r="AG36" s="122">
        <f>IF(AG33=0,"",IF(AG33&gt;0,(AG32/AG33)))</f>
        <v>0.66666666666666663</v>
      </c>
      <c r="AH36" s="122"/>
      <c r="AI36" s="122">
        <f>IF(AI33=0,"",IF(AI33&gt;0,(AI32/AI33)))</f>
        <v>0.66666666666666663</v>
      </c>
      <c r="AJ36" s="122"/>
      <c r="AK36" s="122">
        <f>IF(AK33=0,"",IF(AK33&gt;0,(AK32/AK33)))</f>
        <v>0.66666666666666663</v>
      </c>
      <c r="AL36" s="122"/>
      <c r="AM36" s="122">
        <f>IF(AM33=0,"",IF(AM33&gt;0,(AM32/AM33)))</f>
        <v>1</v>
      </c>
      <c r="AN36" s="122"/>
      <c r="AO36" s="122">
        <f>IF(AO33=0,"",IF(AO33&gt;0,(AO32/AO33)))</f>
        <v>0.66666666666666663</v>
      </c>
      <c r="AP36" s="122"/>
      <c r="AQ36" s="122">
        <f>IF(AQ33=0,"",IF(AQ33&gt;0,(AQ32/AQ33)))</f>
        <v>0.66666666666666663</v>
      </c>
      <c r="AR36" s="122"/>
      <c r="AS36" s="122">
        <f>IF(AS33=0,"",IF(AS33&gt;0,(AS32/AS33)))</f>
        <v>0.66666666666666663</v>
      </c>
      <c r="AT36" s="122"/>
      <c r="AU36" s="122">
        <f>IF(AU33=0,"",IF(AU33&gt;0,(AU32/AU33)))</f>
        <v>0.33333333333333331</v>
      </c>
      <c r="AV36" s="122"/>
      <c r="AW36" s="122">
        <f>IF(AW33=0,"",IF(AW33&gt;0,(AW32/AW33)))</f>
        <v>0.66666666666666663</v>
      </c>
      <c r="AX36" s="122"/>
      <c r="AY36" s="122">
        <f>IF(AY33=0,"",IF(AY33&gt;0,(AY32/AY33)))</f>
        <v>1</v>
      </c>
      <c r="AZ36" s="122"/>
      <c r="BA36" s="122">
        <f>IF(BA33=0,"",IF(BA33&gt;0,(BA32/BA33)))</f>
        <v>0.66666666666666663</v>
      </c>
      <c r="BB36" s="122"/>
      <c r="BC36" s="122">
        <f>IF(BC33=0,"",IF(BC33&gt;0,(BC32/BC33)))</f>
        <v>0.33333333333333331</v>
      </c>
      <c r="BD36" s="122"/>
      <c r="BE36" s="122">
        <f>IF(BE33=0,"",IF(BE33&gt;0,(BE32/BE33)))</f>
        <v>0.33333333333333331</v>
      </c>
      <c r="BF36" s="122"/>
      <c r="BG36" s="122">
        <f>IF(BG33=0,"",IF(BG33&gt;0,(BG32/BG33)))</f>
        <v>1</v>
      </c>
      <c r="BH36" s="122"/>
      <c r="BI36" s="122">
        <f>IF(BI33=0,"",IF(BI33&gt;0,(BI32/BI33)))</f>
        <v>1</v>
      </c>
      <c r="BJ36" s="122"/>
      <c r="BK36" s="122">
        <f>IF(BK33=0,"",IF(BK33&gt;0,(BK32/BK33)))</f>
        <v>1</v>
      </c>
      <c r="BL36" s="122"/>
      <c r="BM36" s="122">
        <f>IF(BM33=0,"",IF(BM33&gt;0,(BM32/BM33)))</f>
        <v>1</v>
      </c>
      <c r="BN36" s="122"/>
      <c r="BO36" s="122"/>
      <c r="BP36" s="122">
        <f>IF(BP33=0,"",IF(BP33&gt;0,(BP32/BP33)))</f>
        <v>1</v>
      </c>
      <c r="BQ36" s="122"/>
      <c r="BR36" s="122">
        <f>IF(BR33=0,"",IF(BR33&gt;0,(BR32/BR33)))</f>
        <v>1</v>
      </c>
      <c r="BS36" s="122"/>
      <c r="BT36" s="122">
        <f>IF(BT33=0,"",IF(BT33&gt;0,(BT32/BT33)))</f>
        <v>0.33333333333333331</v>
      </c>
      <c r="BU36" s="122"/>
      <c r="BV36" s="122">
        <f>IF(BV33=0,"",IF(BV33&gt;0,(BV32/BV33)))</f>
        <v>0.33333333333333331</v>
      </c>
      <c r="BW36" s="122"/>
      <c r="BX36" s="122">
        <f>IF(BX33=0,"",IF(BX33&gt;0,(BX32/BX33)))</f>
        <v>1</v>
      </c>
      <c r="BY36" s="122"/>
      <c r="BZ36" s="122">
        <f>IF(BZ33=0,"",IF(BZ33&gt;0,(BZ32/BZ33)))</f>
        <v>0.33333333333333331</v>
      </c>
      <c r="CA36" s="122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</row>
    <row r="37" spans="2:92" ht="12.75" customHeight="1" x14ac:dyDescent="0.25">
      <c r="K37" s="4"/>
      <c r="L37" s="4"/>
      <c r="M37" s="4"/>
      <c r="N37" s="4"/>
    </row>
    <row r="38" spans="2:92" ht="15.5" x14ac:dyDescent="0.25">
      <c r="L38" s="28"/>
      <c r="M38" s="4"/>
      <c r="N38" s="4"/>
    </row>
    <row r="39" spans="2:92" ht="15.5" x14ac:dyDescent="0.35">
      <c r="L39" s="29"/>
      <c r="M39" s="4"/>
      <c r="N39" s="4"/>
      <c r="CB39" s="11"/>
      <c r="CC39" s="11"/>
      <c r="CD39" s="11"/>
      <c r="CE39" s="11"/>
    </row>
    <row r="40" spans="2:92" ht="15.5" x14ac:dyDescent="0.35">
      <c r="F40" s="212">
        <v>1</v>
      </c>
      <c r="G40" s="258" t="s">
        <v>85</v>
      </c>
      <c r="H40" s="258"/>
      <c r="I40" s="258"/>
      <c r="J40" s="258"/>
      <c r="K40" s="258"/>
      <c r="L40" s="30"/>
      <c r="M40" s="4"/>
      <c r="N40" s="4"/>
      <c r="CB40" s="17" t="s">
        <v>86</v>
      </c>
      <c r="CC40" s="17"/>
      <c r="CD40" s="17"/>
      <c r="CE40" s="17"/>
      <c r="CF40" s="18"/>
      <c r="CG40" s="18"/>
      <c r="CH40" s="18"/>
      <c r="CI40" s="18"/>
      <c r="CJ40" s="18"/>
      <c r="CK40" s="18"/>
      <c r="CL40" s="18"/>
      <c r="CM40" s="18"/>
      <c r="CN40" s="18"/>
    </row>
    <row r="41" spans="2:92" ht="15.5" x14ac:dyDescent="0.35">
      <c r="F41" s="213">
        <v>2</v>
      </c>
      <c r="G41" s="258" t="s">
        <v>87</v>
      </c>
      <c r="H41" s="258"/>
      <c r="I41" s="258"/>
      <c r="J41" s="258"/>
      <c r="K41" s="258"/>
      <c r="L41" s="4"/>
      <c r="M41" s="4"/>
      <c r="N41" s="4"/>
      <c r="CB41" s="19" t="s">
        <v>88</v>
      </c>
      <c r="CC41" s="19"/>
      <c r="CD41" s="19"/>
      <c r="CE41" s="19"/>
      <c r="CF41" s="20"/>
      <c r="CG41" s="20"/>
      <c r="CH41" s="20"/>
      <c r="CI41" s="20"/>
      <c r="CJ41" s="20"/>
      <c r="CK41" s="20"/>
      <c r="CL41" s="20"/>
      <c r="CM41" s="20"/>
      <c r="CN41" s="20"/>
    </row>
    <row r="42" spans="2:92" ht="15.5" x14ac:dyDescent="0.35">
      <c r="F42" s="214">
        <v>3</v>
      </c>
      <c r="G42" s="301" t="s">
        <v>89</v>
      </c>
      <c r="H42" s="302"/>
      <c r="I42" s="302"/>
      <c r="J42" s="302"/>
      <c r="K42" s="303"/>
      <c r="CB42" s="21" t="s">
        <v>90</v>
      </c>
      <c r="CC42" s="21"/>
      <c r="CD42" s="21"/>
      <c r="CE42" s="21"/>
      <c r="CF42" s="22"/>
      <c r="CG42" s="22"/>
      <c r="CH42" s="22"/>
      <c r="CI42" s="22"/>
      <c r="CJ42" s="22"/>
      <c r="CK42" s="22"/>
      <c r="CL42" s="22"/>
      <c r="CM42" s="22"/>
      <c r="CN42" s="123"/>
    </row>
  </sheetData>
  <sheetProtection sheet="1" objects="1" scenarios="1"/>
  <mergeCells count="43">
    <mergeCell ref="G42:K42"/>
    <mergeCell ref="G4:O4"/>
    <mergeCell ref="AA9:AT9"/>
    <mergeCell ref="AU6:BF7"/>
    <mergeCell ref="AU9:BF9"/>
    <mergeCell ref="AA7:AE7"/>
    <mergeCell ref="G9:Z9"/>
    <mergeCell ref="AA6:AT6"/>
    <mergeCell ref="AK7:AR7"/>
    <mergeCell ref="CG28:CM28"/>
    <mergeCell ref="CG29:CM29"/>
    <mergeCell ref="BR6:BZ7"/>
    <mergeCell ref="CG23:CM23"/>
    <mergeCell ref="CG24:CM24"/>
    <mergeCell ref="CG25:CM25"/>
    <mergeCell ref="CG26:CM26"/>
    <mergeCell ref="CG27:CM27"/>
    <mergeCell ref="CG18:CM18"/>
    <mergeCell ref="CG19:CM19"/>
    <mergeCell ref="CG20:CM20"/>
    <mergeCell ref="CG12:CM12"/>
    <mergeCell ref="CC6:CC9"/>
    <mergeCell ref="CD6:CD9"/>
    <mergeCell ref="CE6:CE9"/>
    <mergeCell ref="BG6:BQ7"/>
    <mergeCell ref="CG21:CM21"/>
    <mergeCell ref="CG22:CM22"/>
    <mergeCell ref="CG13:CM13"/>
    <mergeCell ref="CG14:CM14"/>
    <mergeCell ref="CG15:CM15"/>
    <mergeCell ref="CG16:CM16"/>
    <mergeCell ref="CG17:CM17"/>
    <mergeCell ref="BR9:BZ9"/>
    <mergeCell ref="CG10:CM10"/>
    <mergeCell ref="CG11:CM11"/>
    <mergeCell ref="CB6:CB9"/>
    <mergeCell ref="CF6:CF9"/>
    <mergeCell ref="B4:C4"/>
    <mergeCell ref="G40:K40"/>
    <mergeCell ref="G41:K41"/>
    <mergeCell ref="F3:S3"/>
    <mergeCell ref="D4:F4"/>
    <mergeCell ref="G6:Z7"/>
  </mergeCells>
  <phoneticPr fontId="0" type="noConversion"/>
  <conditionalFormatting sqref="C10:C29">
    <cfRule type="expression" dxfId="141" priority="271">
      <formula>$D10="j"</formula>
    </cfRule>
    <cfRule type="expression" dxfId="140" priority="270">
      <formula>$D10="m"</formula>
    </cfRule>
  </conditionalFormatting>
  <conditionalFormatting sqref="C9:E9">
    <cfRule type="cellIs" dxfId="139" priority="370" stopIfTrue="1" operator="between">
      <formula>8</formula>
      <formula>1</formula>
    </cfRule>
  </conditionalFormatting>
  <conditionalFormatting sqref="C10:E29">
    <cfRule type="cellIs" dxfId="138" priority="265" operator="equal">
      <formula>0</formula>
    </cfRule>
  </conditionalFormatting>
  <conditionalFormatting sqref="D10:D29">
    <cfRule type="cellIs" dxfId="137" priority="273" operator="equal">
      <formula>"j"</formula>
    </cfRule>
    <cfRule type="cellIs" dxfId="136" priority="272" operator="equal">
      <formula>"m"</formula>
    </cfRule>
  </conditionalFormatting>
  <conditionalFormatting sqref="E10:F29">
    <cfRule type="expression" dxfId="135" priority="268">
      <formula>$D10="m"</formula>
    </cfRule>
    <cfRule type="expression" dxfId="134" priority="269">
      <formula>$D10="j"</formula>
    </cfRule>
  </conditionalFormatting>
  <conditionalFormatting sqref="F10:F29">
    <cfRule type="expression" dxfId="133" priority="262">
      <formula>$C10=0</formula>
    </cfRule>
  </conditionalFormatting>
  <conditionalFormatting sqref="G10:G29 I10:I29 K10:K29 M10:M29 O10:O29 Q10:Q29 S10:S29 U10:U29 W10:W29 Y10:Y29">
    <cfRule type="cellIs" dxfId="132" priority="247" operator="equal">
      <formula>3</formula>
    </cfRule>
    <cfRule type="cellIs" dxfId="131" priority="248" operator="equal">
      <formula>1</formula>
    </cfRule>
    <cfRule type="cellIs" dxfId="130" priority="246" operator="equal">
      <formula>2</formula>
    </cfRule>
  </conditionalFormatting>
  <conditionalFormatting sqref="G5:H5 G37:H37 G43:H65526">
    <cfRule type="cellIs" dxfId="129" priority="379" stopIfTrue="1" operator="greaterThan">
      <formula>19</formula>
    </cfRule>
    <cfRule type="cellIs" dxfId="128" priority="378" stopIfTrue="1" operator="between">
      <formula>7</formula>
      <formula>8</formula>
    </cfRule>
    <cfRule type="cellIs" dxfId="127" priority="377" stopIfTrue="1" operator="between">
      <formula>1</formula>
      <formula>6</formula>
    </cfRule>
  </conditionalFormatting>
  <conditionalFormatting sqref="G40:H41">
    <cfRule type="cellIs" dxfId="126" priority="408" stopIfTrue="1" operator="between">
      <formula>67</formula>
      <formula>150</formula>
    </cfRule>
    <cfRule type="cellIs" dxfId="125" priority="407" stopIfTrue="1" operator="between">
      <formula>35</formula>
      <formula>50</formula>
    </cfRule>
    <cfRule type="cellIs" dxfId="124" priority="406" stopIfTrue="1" operator="between">
      <formula>1</formula>
      <formula>34</formula>
    </cfRule>
  </conditionalFormatting>
  <conditionalFormatting sqref="G10:CA29">
    <cfRule type="cellIs" dxfId="123" priority="79" operator="equal">
      <formula>""</formula>
    </cfRule>
  </conditionalFormatting>
  <conditionalFormatting sqref="G34:CA34">
    <cfRule type="cellIs" dxfId="122" priority="73" operator="notEqual">
      <formula>0</formula>
    </cfRule>
  </conditionalFormatting>
  <conditionalFormatting sqref="G35:CA35">
    <cfRule type="cellIs" dxfId="121" priority="74" operator="notEqual">
      <formula>0</formula>
    </cfRule>
  </conditionalFormatting>
  <conditionalFormatting sqref="G36:CA36">
    <cfRule type="cellIs" dxfId="120" priority="72" operator="notEqual">
      <formula>0</formula>
    </cfRule>
  </conditionalFormatting>
  <conditionalFormatting sqref="H10:H29 J10:J29 L10:L29 N10:N29 P10:P29 R10:R29 T10:T29 V10:V29 X10:X29 Z10:Z29">
    <cfRule type="cellIs" dxfId="119" priority="249" operator="greaterThan">
      <formula>0</formula>
    </cfRule>
  </conditionalFormatting>
  <conditionalFormatting sqref="O38:P41">
    <cfRule type="cellIs" dxfId="118" priority="389" stopIfTrue="1" operator="between">
      <formula>1</formula>
      <formula>12</formula>
    </cfRule>
    <cfRule type="cellIs" dxfId="117" priority="390" stopIfTrue="1" operator="between">
      <formula>13</formula>
      <formula>25</formula>
    </cfRule>
    <cfRule type="cellIs" dxfId="116" priority="391" stopIfTrue="1" operator="between">
      <formula>37</formula>
      <formula>150</formula>
    </cfRule>
  </conditionalFormatting>
  <conditionalFormatting sqref="P4 O5:P5 O8:P8 O37:P37 S37:Z37 O42:P65526">
    <cfRule type="cellIs" dxfId="115" priority="373" stopIfTrue="1" operator="equal">
      <formula>"n"</formula>
    </cfRule>
    <cfRule type="cellIs" dxfId="114" priority="374" stopIfTrue="1" operator="equal">
      <formula>"d"</formula>
    </cfRule>
  </conditionalFormatting>
  <conditionalFormatting sqref="Q4:R5 Q37:R65526">
    <cfRule type="cellIs" dxfId="113" priority="386" stopIfTrue="1" operator="between">
      <formula>1</formula>
      <formula>9</formula>
    </cfRule>
    <cfRule type="cellIs" dxfId="112" priority="387" stopIfTrue="1" operator="between">
      <formula>10</formula>
      <formula>14</formula>
    </cfRule>
    <cfRule type="cellIs" dxfId="111" priority="388" stopIfTrue="1" operator="greaterThan">
      <formula>19</formula>
    </cfRule>
  </conditionalFormatting>
  <conditionalFormatting sqref="S4:V5 S8:V8 S38:V65526">
    <cfRule type="cellIs" dxfId="110" priority="375" stopIfTrue="1" operator="equal">
      <formula>"?"</formula>
    </cfRule>
    <cfRule type="cellIs" dxfId="109" priority="376" stopIfTrue="1" operator="equal">
      <formula>"j"</formula>
    </cfRule>
  </conditionalFormatting>
  <conditionalFormatting sqref="U3:V3 I5:J5 I37:J37 I43:J65526">
    <cfRule type="cellIs" dxfId="108" priority="380" stopIfTrue="1" operator="between">
      <formula>1</formula>
      <formula>17</formula>
    </cfRule>
    <cfRule type="cellIs" dxfId="107" priority="381" stopIfTrue="1" operator="between">
      <formula>24</formula>
      <formula>29</formula>
    </cfRule>
    <cfRule type="cellIs" dxfId="106" priority="382" stopIfTrue="1" operator="greaterThan">
      <formula>30</formula>
    </cfRule>
  </conditionalFormatting>
  <conditionalFormatting sqref="W3:Z3 K5:N5 K37:N37 L42:N42 K43:N65526">
    <cfRule type="cellIs" dxfId="105" priority="384" stopIfTrue="1" operator="between">
      <formula>9</formula>
      <formula>12</formula>
    </cfRule>
    <cfRule type="cellIs" dxfId="104" priority="383" stopIfTrue="1" operator="between">
      <formula>1</formula>
      <formula>8</formula>
    </cfRule>
    <cfRule type="cellIs" dxfId="103" priority="385" stopIfTrue="1" operator="greaterThan">
      <formula>16</formula>
    </cfRule>
  </conditionalFormatting>
  <conditionalFormatting sqref="W4:Z5 W8:Z8 W38:Z65526">
    <cfRule type="cellIs" dxfId="102" priority="371" stopIfTrue="1" operator="equal">
      <formula>"m"</formula>
    </cfRule>
    <cfRule type="cellIs" dxfId="101" priority="372" stopIfTrue="1" operator="equal">
      <formula>"o"</formula>
    </cfRule>
  </conditionalFormatting>
  <conditionalFormatting sqref="AA10:AA29 AC10:AC29 AE10:AE29 AK10:AK29 AM10:AM29 AO10:AO29 AQ10:AQ29 AS10:AS29">
    <cfRule type="cellIs" dxfId="100" priority="240" operator="equal">
      <formula>2</formula>
    </cfRule>
    <cfRule type="cellIs" dxfId="99" priority="241" operator="equal">
      <formula>3</formula>
    </cfRule>
    <cfRule type="cellIs" dxfId="98" priority="242" operator="equal">
      <formula>1</formula>
    </cfRule>
  </conditionalFormatting>
  <conditionalFormatting sqref="AB10:AB29 AD10:AD29 AF10:AF29 AL10:AL29 AN10:AN29 AP10:AP29 AR10:AR29 AT10:AT29">
    <cfRule type="cellIs" dxfId="97" priority="243" operator="greaterThan">
      <formula>0</formula>
    </cfRule>
  </conditionalFormatting>
  <conditionalFormatting sqref="AG10:AG29">
    <cfRule type="cellIs" dxfId="96" priority="87" operator="equal">
      <formula>3</formula>
    </cfRule>
    <cfRule type="cellIs" dxfId="95" priority="88" operator="equal">
      <formula>1</formula>
    </cfRule>
    <cfRule type="cellIs" dxfId="94" priority="86" operator="equal">
      <formula>2</formula>
    </cfRule>
  </conditionalFormatting>
  <conditionalFormatting sqref="AH10:AH29">
    <cfRule type="cellIs" dxfId="93" priority="89" operator="greaterThan">
      <formula>0</formula>
    </cfRule>
  </conditionalFormatting>
  <conditionalFormatting sqref="AI10:AI29">
    <cfRule type="cellIs" dxfId="92" priority="77" operator="equal">
      <formula>1</formula>
    </cfRule>
    <cfRule type="cellIs" dxfId="91" priority="76" operator="equal">
      <formula>3</formula>
    </cfRule>
    <cfRule type="cellIs" dxfId="90" priority="75" operator="equal">
      <formula>2</formula>
    </cfRule>
  </conditionalFormatting>
  <conditionalFormatting sqref="AJ10:AJ29">
    <cfRule type="cellIs" dxfId="89" priority="78" operator="greaterThan">
      <formula>0</formula>
    </cfRule>
  </conditionalFormatting>
  <conditionalFormatting sqref="AK8">
    <cfRule type="cellIs" dxfId="88" priority="335" stopIfTrue="1" operator="equal">
      <formula>"n"</formula>
    </cfRule>
    <cfRule type="cellIs" dxfId="87" priority="336" stopIfTrue="1" operator="equal">
      <formula>"d"</formula>
    </cfRule>
  </conditionalFormatting>
  <conditionalFormatting sqref="AO8">
    <cfRule type="cellIs" dxfId="86" priority="333" stopIfTrue="1" operator="equal">
      <formula>"?"</formula>
    </cfRule>
    <cfRule type="cellIs" dxfId="85" priority="334" stopIfTrue="1" operator="equal">
      <formula>"j"</formula>
    </cfRule>
  </conditionalFormatting>
  <conditionalFormatting sqref="AQ8 AS8 AU8">
    <cfRule type="cellIs" dxfId="84" priority="345" stopIfTrue="1" operator="equal">
      <formula>"?"</formula>
    </cfRule>
    <cfRule type="cellIs" dxfId="83" priority="346" stopIfTrue="1" operator="equal">
      <formula>"j"</formula>
    </cfRule>
  </conditionalFormatting>
  <conditionalFormatting sqref="AU10:AU29 AW10:AW29 AY10:AY29 BA10:BA29 BC10:BC29 BE10:BE29">
    <cfRule type="cellIs" dxfId="82" priority="233" operator="equal">
      <formula>1</formula>
    </cfRule>
    <cfRule type="cellIs" dxfId="81" priority="231" operator="equal">
      <formula>2</formula>
    </cfRule>
    <cfRule type="cellIs" dxfId="80" priority="232" operator="equal">
      <formula>3</formula>
    </cfRule>
  </conditionalFormatting>
  <conditionalFormatting sqref="AV10:AV29 AX10:AX29 AZ10:AZ29 BB10:BB29 BD10:BD29 BF10:BF29">
    <cfRule type="cellIs" dxfId="79" priority="234" operator="greaterThan">
      <formula>0</formula>
    </cfRule>
  </conditionalFormatting>
  <conditionalFormatting sqref="AW8">
    <cfRule type="cellIs" dxfId="78" priority="342" stopIfTrue="1" operator="equal">
      <formula>"o"</formula>
    </cfRule>
    <cfRule type="cellIs" dxfId="77" priority="341" stopIfTrue="1" operator="equal">
      <formula>"m"</formula>
    </cfRule>
  </conditionalFormatting>
  <conditionalFormatting sqref="BG10:BG29 BI10:BI29 BK10:BK29 BM10:BM29 BP10:BP29">
    <cfRule type="cellIs" dxfId="76" priority="235" operator="equal">
      <formula>2</formula>
    </cfRule>
    <cfRule type="cellIs" dxfId="75" priority="236" operator="equal">
      <formula>3</formula>
    </cfRule>
    <cfRule type="cellIs" dxfId="74" priority="237" operator="equal">
      <formula>1</formula>
    </cfRule>
  </conditionalFormatting>
  <conditionalFormatting sqref="BG8:BH8">
    <cfRule type="cellIs" dxfId="73" priority="306" stopIfTrue="1" operator="equal">
      <formula>"n"</formula>
    </cfRule>
    <cfRule type="cellIs" dxfId="72" priority="307" stopIfTrue="1" operator="equal">
      <formula>"d"</formula>
    </cfRule>
  </conditionalFormatting>
  <conditionalFormatting sqref="BH10:BH29 BJ10:BJ29 BL10:BL29 BN10:BO29 BQ10:BQ29">
    <cfRule type="cellIs" dxfId="71" priority="238" operator="greaterThan">
      <formula>0</formula>
    </cfRule>
  </conditionalFormatting>
  <conditionalFormatting sqref="BH30:BH33">
    <cfRule type="cellIs" dxfId="70" priority="277" operator="equal">
      <formula>""</formula>
    </cfRule>
  </conditionalFormatting>
  <conditionalFormatting sqref="BK8">
    <cfRule type="cellIs" dxfId="69" priority="304" stopIfTrue="1" operator="equal">
      <formula>"?"</formula>
    </cfRule>
    <cfRule type="cellIs" dxfId="68" priority="305" stopIfTrue="1" operator="equal">
      <formula>"j"</formula>
    </cfRule>
  </conditionalFormatting>
  <conditionalFormatting sqref="BM8 BP8 BR8:BS8">
    <cfRule type="cellIs" dxfId="67" priority="285" stopIfTrue="1" operator="equal">
      <formula>"n"</formula>
    </cfRule>
    <cfRule type="cellIs" dxfId="66" priority="286" stopIfTrue="1" operator="equal">
      <formula>"d"</formula>
    </cfRule>
  </conditionalFormatting>
  <conditionalFormatting sqref="BR10:BR29 BT10:BT29 BV10:BV29 BX10:BX29 BZ10:BZ29">
    <cfRule type="cellIs" dxfId="65" priority="226" operator="equal">
      <formula>2</formula>
    </cfRule>
    <cfRule type="cellIs" dxfId="64" priority="228" operator="equal">
      <formula>1</formula>
    </cfRule>
    <cfRule type="cellIs" dxfId="63" priority="227" operator="equal">
      <formula>3</formula>
    </cfRule>
  </conditionalFormatting>
  <conditionalFormatting sqref="BS10:BS29 BU10:BU29 BW10:BW29 BY10:BY29 CA10:CA29">
    <cfRule type="cellIs" dxfId="62" priority="229" operator="greaterThan">
      <formula>0</formula>
    </cfRule>
  </conditionalFormatting>
  <conditionalFormatting sqref="BU8">
    <cfRule type="cellIs" dxfId="61" priority="70" stopIfTrue="1" operator="equal">
      <formula>"n"</formula>
    </cfRule>
    <cfRule type="cellIs" dxfId="60" priority="71" stopIfTrue="1" operator="equal">
      <formula>"d"</formula>
    </cfRule>
  </conditionalFormatting>
  <conditionalFormatting sqref="BV8">
    <cfRule type="cellIs" dxfId="59" priority="283" stopIfTrue="1" operator="equal">
      <formula>"?"</formula>
    </cfRule>
    <cfRule type="cellIs" dxfId="58" priority="284" stopIfTrue="1" operator="equal">
      <formula>"j"</formula>
    </cfRule>
  </conditionalFormatting>
  <conditionalFormatting sqref="BW8">
    <cfRule type="cellIs" dxfId="57" priority="68" stopIfTrue="1" operator="equal">
      <formula>"n"</formula>
    </cfRule>
    <cfRule type="cellIs" dxfId="56" priority="69" stopIfTrue="1" operator="equal">
      <formula>"d"</formula>
    </cfRule>
  </conditionalFormatting>
  <conditionalFormatting sqref="BX8 BZ8">
    <cfRule type="cellIs" dxfId="55" priority="291" stopIfTrue="1" operator="equal">
      <formula>"?"</formula>
    </cfRule>
    <cfRule type="cellIs" dxfId="54" priority="292" stopIfTrue="1" operator="equal">
      <formula>"j"</formula>
    </cfRule>
  </conditionalFormatting>
  <conditionalFormatting sqref="BY8">
    <cfRule type="cellIs" dxfId="53" priority="67" stopIfTrue="1" operator="equal">
      <formula>"d"</formula>
    </cfRule>
    <cfRule type="cellIs" dxfId="52" priority="66" stopIfTrue="1" operator="equal">
      <formula>"n"</formula>
    </cfRule>
  </conditionalFormatting>
  <conditionalFormatting sqref="CA8">
    <cfRule type="cellIs" dxfId="51" priority="64" stopIfTrue="1" operator="equal">
      <formula>"n"</formula>
    </cfRule>
    <cfRule type="cellIs" dxfId="50" priority="65" stopIfTrue="1" operator="equal">
      <formula>"d"</formula>
    </cfRule>
  </conditionalFormatting>
  <conditionalFormatting sqref="CB10:CB29">
    <cfRule type="expression" dxfId="49" priority="10">
      <formula>$Y10=1</formula>
    </cfRule>
    <cfRule type="expression" dxfId="48" priority="9">
      <formula>$Y10=2</formula>
    </cfRule>
    <cfRule type="cellIs" dxfId="47" priority="17" operator="greaterThanOrEqual">
      <formula>25</formula>
    </cfRule>
  </conditionalFormatting>
  <conditionalFormatting sqref="CB10:CC29">
    <cfRule type="cellIs" dxfId="46" priority="21" operator="greaterThanOrEqual">
      <formula>15</formula>
    </cfRule>
  </conditionalFormatting>
  <conditionalFormatting sqref="CB10:CD29">
    <cfRule type="cellIs" dxfId="45" priority="23" operator="greaterThan">
      <formula>0</formula>
    </cfRule>
  </conditionalFormatting>
  <conditionalFormatting sqref="CC10:CC29">
    <cfRule type="expression" dxfId="44" priority="8">
      <formula>$AS10=1</formula>
    </cfRule>
    <cfRule type="expression" dxfId="43" priority="7">
      <formula>$AS10=2</formula>
    </cfRule>
    <cfRule type="cellIs" dxfId="42" priority="20" operator="greaterThanOrEqual">
      <formula>26</formula>
    </cfRule>
  </conditionalFormatting>
  <conditionalFormatting sqref="CD10:CD29">
    <cfRule type="expression" dxfId="41" priority="6">
      <formula>$BE10=1</formula>
    </cfRule>
    <cfRule type="expression" dxfId="40" priority="5">
      <formula>$BE10=2</formula>
    </cfRule>
    <cfRule type="cellIs" dxfId="39" priority="19" operator="greaterThanOrEqual">
      <formula>11</formula>
    </cfRule>
    <cfRule type="cellIs" dxfId="38" priority="18" operator="greaterThanOrEqual">
      <formula>17</formula>
    </cfRule>
  </conditionalFormatting>
  <conditionalFormatting sqref="CE10:CE29">
    <cfRule type="cellIs" dxfId="37" priority="14" operator="greaterThanOrEqual">
      <formula>13</formula>
    </cfRule>
    <cfRule type="cellIs" dxfId="36" priority="15" operator="greaterThanOrEqual">
      <formula>9</formula>
    </cfRule>
    <cfRule type="expression" dxfId="35" priority="4">
      <formula>$BP10=2</formula>
    </cfRule>
    <cfRule type="expression" dxfId="34" priority="3">
      <formula>$BP10=1</formula>
    </cfRule>
    <cfRule type="cellIs" dxfId="33" priority="16" operator="greaterThan">
      <formula>0</formula>
    </cfRule>
  </conditionalFormatting>
  <conditionalFormatting sqref="CF10:CF29">
    <cfRule type="cellIs" dxfId="32" priority="12" operator="greaterThanOrEqual">
      <formula>11</formula>
    </cfRule>
    <cfRule type="expression" dxfId="31" priority="2">
      <formula>$BZ10=2</formula>
    </cfRule>
    <cfRule type="expression" dxfId="30" priority="1">
      <formula>$BZ10=1</formula>
    </cfRule>
    <cfRule type="cellIs" dxfId="29" priority="11" operator="greaterThanOrEqual">
      <formula>15</formula>
    </cfRule>
    <cfRule type="cellIs" dxfId="28" priority="13" operator="greaterThan">
      <formula>0</formula>
    </cfRule>
  </conditionalFormatting>
  <dataValidations count="3">
    <dataValidation type="list" allowBlank="1" showInputMessage="1" showErrorMessage="1" sqref="D10:D29" xr:uid="{364F5D0A-DBCB-4635-AB91-018534FD03E1}">
      <formula1>"j,m,"</formula1>
    </dataValidation>
    <dataValidation type="whole" allowBlank="1" showInputMessage="1" showErrorMessage="1" sqref="AS10:AS29 G10:G29 I10:I29 K10:K29 M10:M29 Q10:Q29 O10:O29 U10:U29 W10:W29 Y10:Y29 AA10:AA29 AC10:AC29 AE10:AE29 AK10:AK29 AO10:AO29 AM10:AM29 AQ10:AQ29 BG10:BG29 BI10:BI29 BK10:BK29 BM10:BM29 BP10:BP29 AU10:AU29 AW10:AW29 AY10:AY29 BA10:BA29 BE10:BE29 BC10:BC29 BR10:BR29 BT10:BT29 BV10:BV29 BX10:BX29 BZ10:BZ29 AG10:AG29 AI10:AI29 S10:S29" xr:uid="{11035264-0290-41DE-B0C8-8B0DD6482C79}">
      <formula1>1</formula1>
      <formula2>3</formula2>
    </dataValidation>
    <dataValidation type="list" allowBlank="1" showInputMessage="1" showErrorMessage="1" sqref="BO10:BO29" xr:uid="{9C177572-94EA-4CD9-8DAB-587A131777CB}">
      <formula1>"l,r,"</formula1>
    </dataValidation>
  </dataValidations>
  <pageMargins left="0.74803149606299213" right="0.74803149606299213" top="0.39370078740157483" bottom="0.31496062992125984" header="0.23622047244094491" footer="0.19685039370078741"/>
  <pageSetup paperSize="9" scale="57" orientation="landscape" horizontalDpi="4294967293" verticalDpi="300" r:id="rId1"/>
  <headerFooter alignWithMargins="0"/>
  <colBreaks count="4" manualBreakCount="4">
    <brk id="26" min="2" max="42" man="1"/>
    <brk id="46" min="2" max="42" man="1"/>
    <brk id="58" min="2" max="42" man="1"/>
    <brk id="69" min="2" max="42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7645-068E-4190-8E40-5CBC34155618}">
  <sheetPr>
    <tabColor rgb="FFFFC000"/>
  </sheetPr>
  <dimension ref="B1:F52"/>
  <sheetViews>
    <sheetView showGridLines="0" showRowColHeaders="0" zoomScale="80" zoomScaleNormal="80" workbookViewId="0">
      <selection activeCell="I26" sqref="I26"/>
    </sheetView>
  </sheetViews>
  <sheetFormatPr defaultRowHeight="12.5" x14ac:dyDescent="0.25"/>
  <cols>
    <col min="1" max="1" width="7" customWidth="1"/>
    <col min="2" max="3" width="6.54296875" customWidth="1"/>
    <col min="4" max="4" width="73.7265625" bestFit="1" customWidth="1"/>
    <col min="6" max="6" width="62.453125" customWidth="1"/>
  </cols>
  <sheetData>
    <row r="1" spans="2:6" ht="13" thickBot="1" x14ac:dyDescent="0.3"/>
    <row r="2" spans="2:6" ht="30" customHeight="1" thickTop="1" thickBot="1" x14ac:dyDescent="0.3">
      <c r="B2" s="339">
        <v>2</v>
      </c>
      <c r="C2" s="340"/>
      <c r="D2" s="128" t="str">
        <f>VLOOKUP($B$2,Namenlijst!B4:C23,2)</f>
        <v>miep</v>
      </c>
      <c r="E2" s="129" t="s">
        <v>69</v>
      </c>
      <c r="F2" s="130" t="s">
        <v>33</v>
      </c>
    </row>
    <row r="3" spans="2:6" ht="30" customHeight="1" thickTop="1" thickBot="1" x14ac:dyDescent="0.3">
      <c r="B3" s="344"/>
      <c r="C3" s="344"/>
    </row>
    <row r="4" spans="2:6" ht="30" customHeight="1" thickTop="1" x14ac:dyDescent="0.25">
      <c r="B4" s="360" t="s">
        <v>91</v>
      </c>
      <c r="C4" s="361"/>
      <c r="D4" s="124" t="s">
        <v>92</v>
      </c>
      <c r="E4" s="221">
        <f>VLOOKUP($B$2,'Overgangsprotocol 2-3'!$B$10:$CF$29,6)</f>
        <v>3</v>
      </c>
      <c r="F4" s="248">
        <f>VLOOKUP($B$2,'Overgangsprotocol 2-3'!$B$10:$CF$29,7)</f>
        <v>0</v>
      </c>
    </row>
    <row r="5" spans="2:6" ht="30" customHeight="1" x14ac:dyDescent="0.25">
      <c r="B5" s="362"/>
      <c r="C5" s="363"/>
      <c r="D5" s="232" t="s">
        <v>93</v>
      </c>
      <c r="E5" s="222">
        <f>VLOOKUP($B$2,'Overgangsprotocol 2-3'!$B$10:$CF$29,8)</f>
        <v>3</v>
      </c>
      <c r="F5" s="246">
        <f>VLOOKUP($B$2,'Overgangsprotocol 2-3'!$B$10:$CF$29,9)</f>
        <v>0</v>
      </c>
    </row>
    <row r="6" spans="2:6" ht="30" customHeight="1" x14ac:dyDescent="0.25">
      <c r="B6" s="362"/>
      <c r="C6" s="363"/>
      <c r="D6" s="231" t="s">
        <v>94</v>
      </c>
      <c r="E6" s="222">
        <f>VLOOKUP($B$2,'Overgangsprotocol 2-3'!$B$10:$CF$29,10)</f>
        <v>3</v>
      </c>
      <c r="F6" s="246">
        <f>VLOOKUP($B$2,'Overgangsprotocol 2-3'!$B$10:$CF$29,11)</f>
        <v>0</v>
      </c>
    </row>
    <row r="7" spans="2:6" ht="30" customHeight="1" x14ac:dyDescent="0.25">
      <c r="B7" s="362"/>
      <c r="C7" s="363"/>
      <c r="D7" s="164" t="s">
        <v>95</v>
      </c>
      <c r="E7" s="222">
        <f>VLOOKUP($B$2,'Overgangsprotocol 2-3'!$B$10:$CF$29,12)</f>
        <v>3</v>
      </c>
      <c r="F7" s="246">
        <f>VLOOKUP($B$2,'Overgangsprotocol 2-3'!$B$10:$CF$29,13)</f>
        <v>0</v>
      </c>
    </row>
    <row r="8" spans="2:6" ht="30" customHeight="1" x14ac:dyDescent="0.25">
      <c r="B8" s="362"/>
      <c r="C8" s="363"/>
      <c r="D8" s="164" t="s">
        <v>37</v>
      </c>
      <c r="E8" s="222">
        <f>VLOOKUP($B$2,'Overgangsprotocol 2-3'!$B$10:$CF$29,14)</f>
        <v>2</v>
      </c>
      <c r="F8" s="246">
        <f>VLOOKUP($B$2,'Overgangsprotocol 2-3'!$B$10:$CF$29,15)</f>
        <v>0</v>
      </c>
    </row>
    <row r="9" spans="2:6" ht="30" customHeight="1" x14ac:dyDescent="0.25">
      <c r="B9" s="362"/>
      <c r="C9" s="363"/>
      <c r="D9" s="164" t="s">
        <v>96</v>
      </c>
      <c r="E9" s="222">
        <f>VLOOKUP($B$2,'Overgangsprotocol 2-3'!$B$10:$CF$29,16)</f>
        <v>2</v>
      </c>
      <c r="F9" s="246">
        <f>VLOOKUP($B$2,'Overgangsprotocol 2-3'!$B$10:$CF$29,17)</f>
        <v>0</v>
      </c>
    </row>
    <row r="10" spans="2:6" ht="30" customHeight="1" x14ac:dyDescent="0.25">
      <c r="B10" s="362"/>
      <c r="C10" s="363"/>
      <c r="D10" s="164" t="s">
        <v>39</v>
      </c>
      <c r="E10" s="222">
        <f>VLOOKUP($B$2,'Overgangsprotocol 2-3'!$B$10:$CF$29,18)</f>
        <v>3</v>
      </c>
      <c r="F10" s="246">
        <f>VLOOKUP($B$2,'Overgangsprotocol 2-3'!$B$10:$CF$29,19)</f>
        <v>0</v>
      </c>
    </row>
    <row r="11" spans="2:6" ht="30" customHeight="1" x14ac:dyDescent="0.25">
      <c r="B11" s="362"/>
      <c r="C11" s="363"/>
      <c r="D11" s="164" t="s">
        <v>40</v>
      </c>
      <c r="E11" s="222">
        <f>VLOOKUP($B$2,'Overgangsprotocol 2-3'!$B$10:$CF$29,20)</f>
        <v>3</v>
      </c>
      <c r="F11" s="246">
        <f>VLOOKUP($B$2,'Overgangsprotocol 2-3'!$B$10:$CF$29,21)</f>
        <v>0</v>
      </c>
    </row>
    <row r="12" spans="2:6" ht="30" customHeight="1" x14ac:dyDescent="0.25">
      <c r="B12" s="362"/>
      <c r="C12" s="363"/>
      <c r="D12" s="164" t="s">
        <v>41</v>
      </c>
      <c r="E12" s="222">
        <f>VLOOKUP($B$2,'Overgangsprotocol 2-3'!$B$10:$CF$29,22)</f>
        <v>3</v>
      </c>
      <c r="F12" s="246">
        <f>VLOOKUP($B$2,'Overgangsprotocol 2-3'!$B$10:$CF$29,23)</f>
        <v>0</v>
      </c>
    </row>
    <row r="13" spans="2:6" ht="30" customHeight="1" thickBot="1" x14ac:dyDescent="0.3">
      <c r="B13" s="364"/>
      <c r="C13" s="365"/>
      <c r="D13" s="163" t="s">
        <v>97</v>
      </c>
      <c r="E13" s="223">
        <f>VLOOKUP($B$2,'Overgangsprotocol 2-3'!$B$10:$CF$29,24)</f>
        <v>3</v>
      </c>
      <c r="F13" s="247">
        <f>VLOOKUP($B$2,'Overgangsprotocol 2-3'!$B$10:$CF$29,25)</f>
        <v>0</v>
      </c>
    </row>
    <row r="14" spans="2:6" ht="30" customHeight="1" thickTop="1" thickBot="1" x14ac:dyDescent="0.4">
      <c r="B14" s="31"/>
      <c r="C14" s="32"/>
      <c r="D14" s="33"/>
      <c r="E14" s="34"/>
      <c r="F14" s="220"/>
    </row>
    <row r="15" spans="2:6" ht="30" customHeight="1" thickTop="1" x14ac:dyDescent="0.25">
      <c r="B15" s="357" t="s">
        <v>98</v>
      </c>
      <c r="C15" s="341"/>
      <c r="D15" s="168" t="s">
        <v>99</v>
      </c>
      <c r="E15" s="125">
        <f>VLOOKUP($B$2,'Overgangsprotocol 2-3'!$B$10:$CF$29,26)</f>
        <v>3</v>
      </c>
      <c r="F15" s="248">
        <f>VLOOKUP($B$2,'Overgangsprotocol 2-3'!$B$10:$CF$29,27)</f>
        <v>0</v>
      </c>
    </row>
    <row r="16" spans="2:6" ht="30" customHeight="1" x14ac:dyDescent="0.25">
      <c r="B16" s="358"/>
      <c r="C16" s="342"/>
      <c r="D16" s="169" t="s">
        <v>44</v>
      </c>
      <c r="E16" s="126">
        <f>VLOOKUP($B$2,'Overgangsprotocol 2-3'!$B$10:$CF$29,28)</f>
        <v>3</v>
      </c>
      <c r="F16" s="246">
        <f>VLOOKUP($B$2,'Overgangsprotocol 2-3'!$B$10:$CF$29,29)</f>
        <v>0</v>
      </c>
    </row>
    <row r="17" spans="2:6" ht="30" customHeight="1" x14ac:dyDescent="0.25">
      <c r="B17" s="358"/>
      <c r="C17" s="342"/>
      <c r="D17" s="169" t="s">
        <v>45</v>
      </c>
      <c r="E17" s="126">
        <f>VLOOKUP($B$2,'Overgangsprotocol 2-3'!$B$10:$CF$29,30)</f>
        <v>3</v>
      </c>
      <c r="F17" s="246">
        <f>VLOOKUP($B$2,'Overgangsprotocol 2-3'!$B$10:$CF$29,31)</f>
        <v>0</v>
      </c>
    </row>
    <row r="18" spans="2:6" ht="30" customHeight="1" x14ac:dyDescent="0.25">
      <c r="B18" s="358"/>
      <c r="C18" s="165"/>
      <c r="D18" s="169" t="s">
        <v>100</v>
      </c>
      <c r="E18" s="126">
        <f>VLOOKUP($B$2,'Overgangsprotocol 2-3'!$B$10:$CF$29,32)</f>
        <v>1</v>
      </c>
      <c r="F18" s="246">
        <f>VLOOKUP($B$2,'Overgangsprotocol 2-3'!$B$10:$CF$29,33)</f>
        <v>0</v>
      </c>
    </row>
    <row r="19" spans="2:6" ht="30" customHeight="1" x14ac:dyDescent="0.25">
      <c r="B19" s="358"/>
      <c r="C19" s="166"/>
      <c r="D19" s="169" t="s">
        <v>101</v>
      </c>
      <c r="E19" s="126">
        <f>VLOOKUP($B$2,'Overgangsprotocol 2-3'!$B$10:$CF$29,34)</f>
        <v>2</v>
      </c>
      <c r="F19" s="246">
        <f>VLOOKUP($B$2,'Overgangsprotocol 2-3'!$B$10:$CF$29,35)</f>
        <v>0</v>
      </c>
    </row>
    <row r="20" spans="2:6" ht="30" customHeight="1" x14ac:dyDescent="0.25">
      <c r="B20" s="358"/>
      <c r="C20" s="343" t="s">
        <v>102</v>
      </c>
      <c r="D20" s="170" t="s">
        <v>103</v>
      </c>
      <c r="E20" s="126">
        <f>VLOOKUP($B$2,'Overgangsprotocol 2-3'!$B$10:$CF$29,36)</f>
        <v>2</v>
      </c>
      <c r="F20" s="246">
        <f>VLOOKUP($B$2,'Overgangsprotocol 2-3'!$B$10:$CF$29,37)</f>
        <v>0</v>
      </c>
    </row>
    <row r="21" spans="2:6" ht="30" customHeight="1" x14ac:dyDescent="0.25">
      <c r="B21" s="358"/>
      <c r="C21" s="343"/>
      <c r="D21" s="169" t="s">
        <v>104</v>
      </c>
      <c r="E21" s="126">
        <f>VLOOKUP($B$2,'Overgangsprotocol 2-3'!$B$10:$CF$29,38)</f>
        <v>3</v>
      </c>
      <c r="F21" s="246">
        <f>VLOOKUP($B$2,'Overgangsprotocol 2-3'!$B$10:$CF$29,39)</f>
        <v>0</v>
      </c>
    </row>
    <row r="22" spans="2:6" ht="30" customHeight="1" x14ac:dyDescent="0.25">
      <c r="B22" s="358"/>
      <c r="C22" s="343"/>
      <c r="D22" s="169" t="s">
        <v>50</v>
      </c>
      <c r="E22" s="126">
        <f>VLOOKUP($B$2,'Overgangsprotocol 2-3'!$B$10:$CF$29,40)</f>
        <v>2</v>
      </c>
      <c r="F22" s="246">
        <f>VLOOKUP($B$2,'Overgangsprotocol 2-3'!$B$10:$CF$29,41)</f>
        <v>0</v>
      </c>
    </row>
    <row r="23" spans="2:6" ht="30" customHeight="1" x14ac:dyDescent="0.25">
      <c r="B23" s="358"/>
      <c r="C23" s="343"/>
      <c r="D23" s="169" t="s">
        <v>51</v>
      </c>
      <c r="E23" s="126">
        <f>VLOOKUP($B$2,'Overgangsprotocol 2-3'!$B$10:$CF$29,42)</f>
        <v>2</v>
      </c>
      <c r="F23" s="246">
        <f>VLOOKUP($B$2,'Overgangsprotocol 2-3'!$B$10:$CF$29,43)</f>
        <v>0</v>
      </c>
    </row>
    <row r="24" spans="2:6" ht="30" customHeight="1" thickBot="1" x14ac:dyDescent="0.3">
      <c r="B24" s="359"/>
      <c r="C24" s="167"/>
      <c r="D24" s="171" t="s">
        <v>42</v>
      </c>
      <c r="E24" s="127">
        <f>VLOOKUP($B$2,'Overgangsprotocol 2-3'!$B$10:$CF$29,44)</f>
        <v>2</v>
      </c>
      <c r="F24" s="247">
        <f>VLOOKUP($B$2,'Overgangsprotocol 2-3'!$B$10:$CF$29,45)</f>
        <v>0</v>
      </c>
    </row>
    <row r="25" spans="2:6" ht="30" customHeight="1" thickTop="1" thickBot="1" x14ac:dyDescent="0.4">
      <c r="D25" s="24"/>
      <c r="E25" s="25"/>
      <c r="F25" s="26"/>
    </row>
    <row r="26" spans="2:6" ht="30" customHeight="1" thickTop="1" x14ac:dyDescent="0.25">
      <c r="B26" s="345" t="s">
        <v>105</v>
      </c>
      <c r="C26" s="346"/>
      <c r="D26" s="182" t="s">
        <v>106</v>
      </c>
      <c r="E26" s="179">
        <f>VLOOKUP($B$2,'Overgangsprotocol 2-3'!$B$10:$CF$29,46)</f>
        <v>2</v>
      </c>
      <c r="F26" s="248">
        <f>VLOOKUP($B$2,'Overgangsprotocol 2-3'!$B$10:$CF$29,47)</f>
        <v>0</v>
      </c>
    </row>
    <row r="27" spans="2:6" ht="30" customHeight="1" x14ac:dyDescent="0.25">
      <c r="B27" s="347"/>
      <c r="C27" s="348"/>
      <c r="D27" s="180" t="s">
        <v>53</v>
      </c>
      <c r="E27" s="126">
        <f>VLOOKUP($B$2,'Overgangsprotocol 2-3'!$B$10:$CF$29,48)</f>
        <v>2</v>
      </c>
      <c r="F27" s="246">
        <f>VLOOKUP($B$2,'Overgangsprotocol 2-3'!$B$10:$CF$29,49)</f>
        <v>0</v>
      </c>
    </row>
    <row r="28" spans="2:6" ht="30" customHeight="1" x14ac:dyDescent="0.25">
      <c r="B28" s="347"/>
      <c r="C28" s="348"/>
      <c r="D28" s="180" t="s">
        <v>107</v>
      </c>
      <c r="E28" s="126">
        <f>VLOOKUP($B$2,'Overgangsprotocol 2-3'!$B$10:$CF$29,50)</f>
        <v>3</v>
      </c>
      <c r="F28" s="246">
        <f>VLOOKUP($B$2,'Overgangsprotocol 2-3'!$B$10:$CF$29,51)</f>
        <v>0</v>
      </c>
    </row>
    <row r="29" spans="2:6" ht="30" customHeight="1" x14ac:dyDescent="0.25">
      <c r="B29" s="347"/>
      <c r="C29" s="348"/>
      <c r="D29" s="180" t="s">
        <v>55</v>
      </c>
      <c r="E29" s="126">
        <f>VLOOKUP($B$2,'Overgangsprotocol 2-3'!$B$10:$CF$29,52)</f>
        <v>2</v>
      </c>
      <c r="F29" s="246">
        <f>VLOOKUP($B$2,'Overgangsprotocol 2-3'!$B$10:$CF$29,53)</f>
        <v>0</v>
      </c>
    </row>
    <row r="30" spans="2:6" ht="30" customHeight="1" x14ac:dyDescent="0.25">
      <c r="B30" s="347"/>
      <c r="C30" s="348"/>
      <c r="D30" s="180" t="s">
        <v>56</v>
      </c>
      <c r="E30" s="126">
        <f>VLOOKUP($B$2,'Overgangsprotocol 2-3'!$B$10:$CF$29,54)</f>
        <v>1</v>
      </c>
      <c r="F30" s="246">
        <f>VLOOKUP($B$2,'Overgangsprotocol 2-3'!$B$10:$CF$29,55)</f>
        <v>0</v>
      </c>
    </row>
    <row r="31" spans="2:6" ht="30" customHeight="1" thickBot="1" x14ac:dyDescent="0.3">
      <c r="B31" s="349"/>
      <c r="C31" s="350"/>
      <c r="D31" s="181" t="s">
        <v>97</v>
      </c>
      <c r="E31" s="127">
        <f>VLOOKUP($B$2,'Overgangsprotocol 2-3'!$B$10:$CF$29,56)</f>
        <v>2</v>
      </c>
      <c r="F31" s="247">
        <f>VLOOKUP($B$2,'Overgangsprotocol 2-3'!$B$10:$CF$29,57)</f>
        <v>0</v>
      </c>
    </row>
    <row r="32" spans="2:6" ht="30" customHeight="1" thickTop="1" thickBot="1" x14ac:dyDescent="0.4">
      <c r="D32" s="24"/>
      <c r="E32" s="25"/>
      <c r="F32" s="26"/>
    </row>
    <row r="33" spans="2:6" ht="30" customHeight="1" thickTop="1" x14ac:dyDescent="0.25">
      <c r="B33" s="366" t="s">
        <v>23</v>
      </c>
      <c r="C33" s="367"/>
      <c r="D33" s="172" t="s">
        <v>108</v>
      </c>
      <c r="E33" s="125">
        <f>VLOOKUP($B$2,'Overgangsprotocol 2-3'!$B$10:$CF$29,58)</f>
        <v>3</v>
      </c>
      <c r="F33" s="248">
        <f>VLOOKUP($B$2,'Overgangsprotocol 2-3'!$B$10:$CF$29,59)</f>
        <v>0</v>
      </c>
    </row>
    <row r="34" spans="2:6" ht="30" customHeight="1" x14ac:dyDescent="0.25">
      <c r="B34" s="368"/>
      <c r="C34" s="369"/>
      <c r="D34" s="173" t="s">
        <v>58</v>
      </c>
      <c r="E34" s="126">
        <f>VLOOKUP($B$2,'Overgangsprotocol 2-3'!$B$10:$CF$29,60)</f>
        <v>3</v>
      </c>
      <c r="F34" s="246">
        <f>VLOOKUP($B$2,'Overgangsprotocol 2-3'!$B$10:$CF$29,61)</f>
        <v>0</v>
      </c>
    </row>
    <row r="35" spans="2:6" ht="30" customHeight="1" x14ac:dyDescent="0.25">
      <c r="B35" s="368"/>
      <c r="C35" s="369"/>
      <c r="D35" s="173" t="s">
        <v>109</v>
      </c>
      <c r="E35" s="126">
        <f>VLOOKUP($B$2,'Overgangsprotocol 2-3'!$B$10:$CF$29,62)</f>
        <v>3</v>
      </c>
      <c r="F35" s="246">
        <f>VLOOKUP($B$2,'Overgangsprotocol 2-3'!$B$10:$CF$29,63)</f>
        <v>0</v>
      </c>
    </row>
    <row r="36" spans="2:6" ht="30" customHeight="1" x14ac:dyDescent="0.25">
      <c r="B36" s="368"/>
      <c r="C36" s="369"/>
      <c r="D36" s="176" t="s">
        <v>60</v>
      </c>
      <c r="E36" s="126">
        <f>VLOOKUP($B$2,'Overgangsprotocol 2-3'!$B$10:$CF$29,64)</f>
        <v>3</v>
      </c>
      <c r="F36" s="246">
        <f>VLOOKUP($B$2,'Overgangsprotocol 2-3'!$B$10:$CF$29,65)</f>
        <v>0</v>
      </c>
    </row>
    <row r="37" spans="2:6" ht="30" customHeight="1" thickBot="1" x14ac:dyDescent="0.3">
      <c r="B37" s="370"/>
      <c r="C37" s="371"/>
      <c r="D37" s="183" t="s">
        <v>97</v>
      </c>
      <c r="E37" s="175">
        <f>VLOOKUP($B$2,'Overgangsprotocol 2-3'!$B$10:$CF$29,67)</f>
        <v>3</v>
      </c>
      <c r="F37" s="247">
        <f>VLOOKUP($B$2,'Overgangsprotocol 2-3'!$B$10:$CF$29,68)</f>
        <v>0</v>
      </c>
    </row>
    <row r="38" spans="2:6" ht="30" customHeight="1" thickTop="1" thickBot="1" x14ac:dyDescent="0.4">
      <c r="B38" s="27"/>
      <c r="C38" s="187"/>
      <c r="D38" s="187"/>
      <c r="E38" s="184"/>
      <c r="F38" s="26"/>
    </row>
    <row r="39" spans="2:6" ht="30" customHeight="1" thickTop="1" x14ac:dyDescent="0.25">
      <c r="B39" s="325" t="s">
        <v>110</v>
      </c>
      <c r="C39" s="326"/>
      <c r="D39" s="177" t="s">
        <v>62</v>
      </c>
      <c r="E39" s="125">
        <f>VLOOKUP($B$2,'Overgangsprotocol 2-3'!$B$10:$CF$29,69)</f>
        <v>3</v>
      </c>
      <c r="F39" s="248">
        <f>VLOOKUP($B$2,'Overgangsprotocol 2-3'!$B$10:$CF$29,70)</f>
        <v>0</v>
      </c>
    </row>
    <row r="40" spans="2:6" ht="30" customHeight="1" x14ac:dyDescent="0.25">
      <c r="B40" s="327"/>
      <c r="C40" s="328"/>
      <c r="D40" s="174" t="s">
        <v>63</v>
      </c>
      <c r="E40" s="126">
        <f>VLOOKUP($B$2,'Overgangsprotocol 2-3'!$B$10:$CF$29,71)</f>
        <v>2</v>
      </c>
      <c r="F40" s="246">
        <f>VLOOKUP($B$2,'Overgangsprotocol 2-3'!$B$10:$CF$29,72)</f>
        <v>0</v>
      </c>
    </row>
    <row r="41" spans="2:6" ht="30" customHeight="1" x14ac:dyDescent="0.25">
      <c r="B41" s="327"/>
      <c r="C41" s="328"/>
      <c r="D41" s="174" t="s">
        <v>64</v>
      </c>
      <c r="E41" s="126">
        <f>VLOOKUP($B$2,'Overgangsprotocol 2-3'!$B$10:$CF$29,73)</f>
        <v>2</v>
      </c>
      <c r="F41" s="246">
        <f>VLOOKUP($B$2,'Overgangsprotocol 2-3'!$B$10:$CF$29,74)</f>
        <v>0</v>
      </c>
    </row>
    <row r="42" spans="2:6" ht="30" customHeight="1" x14ac:dyDescent="0.25">
      <c r="B42" s="327"/>
      <c r="C42" s="328"/>
      <c r="D42" s="174" t="s">
        <v>111</v>
      </c>
      <c r="E42" s="126">
        <f>VLOOKUP($B$2,'Overgangsprotocol 2-3'!$B$10:$CF$29,75)</f>
        <v>3</v>
      </c>
      <c r="F42" s="246">
        <f>VLOOKUP($B$2,'Overgangsprotocol 2-3'!$B$10:$CF$29,76)</f>
        <v>0</v>
      </c>
    </row>
    <row r="43" spans="2:6" ht="30" customHeight="1" thickBot="1" x14ac:dyDescent="0.3">
      <c r="B43" s="329"/>
      <c r="C43" s="330"/>
      <c r="D43" s="178" t="s">
        <v>97</v>
      </c>
      <c r="E43" s="127">
        <f>VLOOKUP($B$2,'Overgangsprotocol 2-3'!$B$10:$CF$29,77)</f>
        <v>1</v>
      </c>
      <c r="F43" s="247">
        <f>VLOOKUP($B$2,'Overgangsprotocol 2-3'!$B$10:$CF$29,78)</f>
        <v>0</v>
      </c>
    </row>
    <row r="44" spans="2:6" ht="30" customHeight="1" thickTop="1" thickBot="1" x14ac:dyDescent="0.4">
      <c r="B44" s="27"/>
      <c r="C44" s="226"/>
      <c r="D44" s="227"/>
      <c r="E44" s="228"/>
      <c r="F44" s="26"/>
    </row>
    <row r="45" spans="2:6" ht="30" customHeight="1" thickTop="1" x14ac:dyDescent="0.25">
      <c r="B45" s="372" t="s">
        <v>112</v>
      </c>
      <c r="C45" s="373"/>
      <c r="D45" s="373"/>
      <c r="E45" s="186">
        <f>$E$13</f>
        <v>3</v>
      </c>
      <c r="F45" s="131" t="str">
        <f>IF(E45=0,"",IF(E45=3,"Voldoende voorwaarden voor groep 3",IF(E45=2,"Geen optimale voorwaarden voor groep 3  - Advies: oudergesprek",IF(E45="","",IF(E45=1,"Advies: Oudergesprek + overleg met IB-er")))))</f>
        <v>Voldoende voorwaarden voor groep 3</v>
      </c>
    </row>
    <row r="46" spans="2:6" ht="30" customHeight="1" x14ac:dyDescent="0.25">
      <c r="B46" s="323" t="s">
        <v>98</v>
      </c>
      <c r="C46" s="324"/>
      <c r="D46" s="324"/>
      <c r="E46" s="229">
        <f>$E$24</f>
        <v>2</v>
      </c>
      <c r="F46" s="230" t="str">
        <f>IF(E46=0,"",IF(E46=3,"Voldoende voorwaarden voor groep 3",IF(E46=2,"Geen optimale voorwaarden voor groep 3  - Advies: oudergesprek",IF(E46="","",IF(E46=1,"Advies: Oudergesprek + overleg met IB-er")))))</f>
        <v>Geen optimale voorwaarden voor groep 3  - Advies: oudergesprek</v>
      </c>
    </row>
    <row r="47" spans="2:6" ht="30" customHeight="1" x14ac:dyDescent="0.25">
      <c r="B47" s="351" t="s">
        <v>105</v>
      </c>
      <c r="C47" s="352"/>
      <c r="D47" s="352"/>
      <c r="E47" s="229">
        <f>$E$31</f>
        <v>2</v>
      </c>
      <c r="F47" s="230" t="str">
        <f>IF(E47=0,"",IF(E47=3,"Voldoende voorwaarden voor groep 3",IF(E47=2,"Geen optimale voorwaarden voor groep 3  - Advies: oudergesprek",IF(E47="","",IF(E47=1,"Advies: Oudergesprek + overleg met IB-er")))))</f>
        <v>Geen optimale voorwaarden voor groep 3  - Advies: oudergesprek</v>
      </c>
    </row>
    <row r="48" spans="2:6" ht="30" customHeight="1" x14ac:dyDescent="0.25">
      <c r="B48" s="353" t="s">
        <v>23</v>
      </c>
      <c r="C48" s="354"/>
      <c r="D48" s="354"/>
      <c r="E48" s="229">
        <f>$E$37</f>
        <v>3</v>
      </c>
      <c r="F48" s="230" t="str">
        <f>IF(E48=0,"",IF(E48=3,"Voldoende voorwaarden voor groep 3",IF(E48=2,"Geen optimale voorwaarden voor groep 3  - Advies: oudergesprek",IF(E48="","",IF(E48=1,"Advies: Oudergesprek + overleg met IB-er")))))</f>
        <v>Voldoende voorwaarden voor groep 3</v>
      </c>
    </row>
    <row r="49" spans="2:6" ht="30" customHeight="1" x14ac:dyDescent="0.25">
      <c r="B49" s="355" t="s">
        <v>113</v>
      </c>
      <c r="C49" s="356"/>
      <c r="D49" s="356"/>
      <c r="E49" s="229">
        <f>$E$43</f>
        <v>1</v>
      </c>
      <c r="F49" s="230" t="str">
        <f>IF(E49=0,"",IF(E49=3,"Voldoende voorwaarden voor groep 3",IF(E49=2,"Geen optimale voorwaarden voor groep 3  - Advies: oudergesprek",IF(E49="","",IF(E49=1,"Advies: Oudergesprek + overleg met IB-er")))))</f>
        <v>Advies: Oudergesprek + overleg met IB-er</v>
      </c>
    </row>
    <row r="50" spans="2:6" ht="30" customHeight="1" x14ac:dyDescent="0.25">
      <c r="B50" s="333" t="s">
        <v>114</v>
      </c>
      <c r="C50" s="334"/>
      <c r="D50" s="334"/>
      <c r="E50" s="337"/>
      <c r="F50" s="331">
        <f>VLOOKUP($B$2,'[1]Overgangsprotocol 2-3'!$B$10:$CG$29,84)</f>
        <v>0</v>
      </c>
    </row>
    <row r="51" spans="2:6" ht="30" customHeight="1" thickBot="1" x14ac:dyDescent="0.3">
      <c r="B51" s="335"/>
      <c r="C51" s="336"/>
      <c r="D51" s="336"/>
      <c r="E51" s="338"/>
      <c r="F51" s="332"/>
    </row>
    <row r="52" spans="2:6" ht="30" customHeight="1" thickTop="1" x14ac:dyDescent="0.25"/>
  </sheetData>
  <sheetProtection sheet="1" objects="1" scenarios="1"/>
  <mergeCells count="17">
    <mergeCell ref="B33:C37"/>
    <mergeCell ref="B45:D45"/>
    <mergeCell ref="B2:C2"/>
    <mergeCell ref="C15:C17"/>
    <mergeCell ref="C20:C23"/>
    <mergeCell ref="B3:C3"/>
    <mergeCell ref="B26:C31"/>
    <mergeCell ref="B15:B24"/>
    <mergeCell ref="B4:C13"/>
    <mergeCell ref="B46:D46"/>
    <mergeCell ref="B39:C43"/>
    <mergeCell ref="F50:F51"/>
    <mergeCell ref="B50:D51"/>
    <mergeCell ref="E50:E51"/>
    <mergeCell ref="B47:D47"/>
    <mergeCell ref="B48:D48"/>
    <mergeCell ref="B49:D49"/>
  </mergeCells>
  <conditionalFormatting sqref="B4 D14 D25 D32">
    <cfRule type="cellIs" dxfId="27" priority="103" stopIfTrue="1" operator="equal">
      <formula>"m"</formula>
    </cfRule>
    <cfRule type="cellIs" dxfId="26" priority="104" stopIfTrue="1" operator="equal">
      <formula>"o"</formula>
    </cfRule>
  </conditionalFormatting>
  <conditionalFormatting sqref="B33 B38:D38">
    <cfRule type="cellIs" dxfId="25" priority="74" stopIfTrue="1" operator="equal">
      <formula>"n"</formula>
    </cfRule>
    <cfRule type="cellIs" dxfId="24" priority="75" stopIfTrue="1" operator="equal">
      <formula>"d"</formula>
    </cfRule>
  </conditionalFormatting>
  <conditionalFormatting sqref="B39 B44:D44">
    <cfRule type="cellIs" dxfId="23" priority="66" stopIfTrue="1" operator="equal">
      <formula>"?"</formula>
    </cfRule>
    <cfRule type="cellIs" dxfId="22" priority="67" stopIfTrue="1" operator="equal">
      <formula>"j"</formula>
    </cfRule>
  </conditionalFormatting>
  <conditionalFormatting sqref="B15:C15">
    <cfRule type="cellIs" dxfId="21" priority="88" stopIfTrue="1" operator="equal">
      <formula>"?"</formula>
    </cfRule>
    <cfRule type="cellIs" dxfId="20" priority="89" stopIfTrue="1" operator="equal">
      <formula>"j"</formula>
    </cfRule>
  </conditionalFormatting>
  <conditionalFormatting sqref="C20">
    <cfRule type="cellIs" dxfId="19" priority="86" stopIfTrue="1" operator="equal">
      <formula>"?"</formula>
    </cfRule>
    <cfRule type="cellIs" dxfId="18" priority="87" stopIfTrue="1" operator="equal">
      <formula>"j"</formula>
    </cfRule>
  </conditionalFormatting>
  <conditionalFormatting sqref="D24">
    <cfRule type="cellIs" dxfId="17" priority="90" stopIfTrue="1" operator="equal">
      <formula>"?"</formula>
    </cfRule>
    <cfRule type="cellIs" dxfId="16" priority="91" stopIfTrue="1" operator="equal">
      <formula>"j"</formula>
    </cfRule>
  </conditionalFormatting>
  <conditionalFormatting sqref="E4:E44">
    <cfRule type="cellIs" dxfId="15" priority="34" operator="equal">
      <formula>0</formula>
    </cfRule>
  </conditionalFormatting>
  <conditionalFormatting sqref="E4:E49">
    <cfRule type="cellIs" dxfId="14" priority="1" operator="equal">
      <formula>3</formula>
    </cfRule>
    <cfRule type="cellIs" dxfId="13" priority="2" operator="equal">
      <formula>2</formula>
    </cfRule>
    <cfRule type="cellIs" dxfId="12" priority="3" operator="equal">
      <formula>1</formula>
    </cfRule>
  </conditionalFormatting>
  <conditionalFormatting sqref="E45:E49">
    <cfRule type="cellIs" priority="4" operator="equal">
      <formula>0</formula>
    </cfRule>
  </conditionalFormatting>
  <conditionalFormatting sqref="F4:F13">
    <cfRule type="cellIs" dxfId="11" priority="56" operator="equal">
      <formula>0</formula>
    </cfRule>
    <cfRule type="cellIs" dxfId="10" priority="57" operator="greaterThan">
      <formula>0</formula>
    </cfRule>
  </conditionalFormatting>
  <conditionalFormatting sqref="F14 F25 F32 F38 F44">
    <cfRule type="cellIs" dxfId="9" priority="98" operator="notEqual">
      <formula>""</formula>
    </cfRule>
  </conditionalFormatting>
  <conditionalFormatting sqref="F15:F24">
    <cfRule type="cellIs" dxfId="8" priority="50" operator="equal">
      <formula>0</formula>
    </cfRule>
    <cfRule type="cellIs" dxfId="7" priority="51" operator="greaterThan">
      <formula>0</formula>
    </cfRule>
  </conditionalFormatting>
  <conditionalFormatting sqref="F26:F31">
    <cfRule type="cellIs" dxfId="6" priority="44" operator="equal">
      <formula>0</formula>
    </cfRule>
    <cfRule type="cellIs" dxfId="5" priority="45" operator="greaterThan">
      <formula>0</formula>
    </cfRule>
  </conditionalFormatting>
  <conditionalFormatting sqref="F33:F37">
    <cfRule type="cellIs" dxfId="4" priority="38" operator="equal">
      <formula>0</formula>
    </cfRule>
    <cfRule type="cellIs" dxfId="3" priority="39" operator="greaterThan">
      <formula>0</formula>
    </cfRule>
  </conditionalFormatting>
  <conditionalFormatting sqref="F39:F43">
    <cfRule type="cellIs" dxfId="2" priority="32" operator="equal">
      <formula>0</formula>
    </cfRule>
    <cfRule type="cellIs" dxfId="1" priority="33" operator="greaterThan">
      <formula>0</formula>
    </cfRule>
  </conditionalFormatting>
  <conditionalFormatting sqref="F45:F49">
    <cfRule type="cellIs" dxfId="0" priority="5" operator="greaterThan">
      <formula>0</formula>
    </cfRule>
  </conditionalFormatting>
  <dataValidations count="1">
    <dataValidation type="whole" allowBlank="1" showInputMessage="1" showErrorMessage="1" sqref="B2:C2" xr:uid="{D17248C0-F588-431D-B6CE-32B79E645206}">
      <formula1>1</formula1>
      <formula2>20</formula2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horizontalDpi="4294967293" r:id="rId1"/>
  <ignoredErrors>
    <ignoredError sqref="E19:F19 E21:F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ecf5db-7d4d-4dbe-bce7-39d49be64e81">
      <Terms xmlns="http://schemas.microsoft.com/office/infopath/2007/PartnerControls"/>
    </lcf76f155ced4ddcb4097134ff3c332f>
    <TaxCatchAll xmlns="b6647730-621b-45fb-9aac-463b4d877dc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84669C4F10646965A639A06F3BA99" ma:contentTypeVersion="16" ma:contentTypeDescription="Een nieuw document maken." ma:contentTypeScope="" ma:versionID="6109b613ea4326fb84734faa0d20ee0e">
  <xsd:schema xmlns:xsd="http://www.w3.org/2001/XMLSchema" xmlns:xs="http://www.w3.org/2001/XMLSchema" xmlns:p="http://schemas.microsoft.com/office/2006/metadata/properties" xmlns:ns2="c2ecf5db-7d4d-4dbe-bce7-39d49be64e81" xmlns:ns3="b6647730-621b-45fb-9aac-463b4d877dcd" targetNamespace="http://schemas.microsoft.com/office/2006/metadata/properties" ma:root="true" ma:fieldsID="db582ad28750cea28b100be151ae384f" ns2:_="" ns3:_="">
    <xsd:import namespace="c2ecf5db-7d4d-4dbe-bce7-39d49be64e81"/>
    <xsd:import namespace="b6647730-621b-45fb-9aac-463b4d877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cf5db-7d4d-4dbe-bce7-39d49be64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de8c01-f805-4697-8e18-a3d0ede4f3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47730-621b-45fb-9aac-463b4d877d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bc939f-174b-46b1-8da1-e58631859bc4}" ma:internalName="TaxCatchAll" ma:showField="CatchAllData" ma:web="b6647730-621b-45fb-9aac-463b4d877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DFB2AB-6380-4C86-BA67-FF6D54944438}">
  <ds:schemaRefs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b6647730-621b-45fb-9aac-463b4d877dcd"/>
    <ds:schemaRef ds:uri="c2ecf5db-7d4d-4dbe-bce7-39d49be64e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FB4594-ED89-4583-AE98-B09CF8872B8A}"/>
</file>

<file path=customXml/itemProps3.xml><?xml version="1.0" encoding="utf-8"?>
<ds:datastoreItem xmlns:ds="http://schemas.openxmlformats.org/officeDocument/2006/customXml" ds:itemID="{0EC164C5-F8E0-416B-BADE-58517EFBE9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Namenlijst</vt:lpstr>
      <vt:lpstr>Overgangsprotocol 2-3</vt:lpstr>
      <vt:lpstr>Leerlingprofiel</vt:lpstr>
      <vt:lpstr>Leerlingprofiel!Afdrukbereik</vt:lpstr>
      <vt:lpstr>'Overgangsprotocol 2-3'!Afdrukbereik</vt:lpstr>
    </vt:vector>
  </TitlesOfParts>
  <Manager/>
  <Company>De Kardoen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win98</dc:creator>
  <cp:keywords/>
  <dc:description/>
  <cp:lastModifiedBy>Harrie Meinen | De Kardoen</cp:lastModifiedBy>
  <cp:revision/>
  <cp:lastPrinted>2023-07-02T18:32:52Z</cp:lastPrinted>
  <dcterms:created xsi:type="dcterms:W3CDTF">2003-09-03T19:59:23Z</dcterms:created>
  <dcterms:modified xsi:type="dcterms:W3CDTF">2023-07-02T19:37:25Z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0x0101005A684669C4F10646965A639A06F3BA99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